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cetomecyber-my.sharepoint.com/personal/cedric_cetome_com/Documents/Documents/cetome/REDact/"/>
    </mc:Choice>
  </mc:AlternateContent>
  <xr:revisionPtr revIDLastSave="128" documentId="8_{1B3DF879-8163-45CB-BDEA-82BBD3B8055D}" xr6:coauthVersionLast="47" xr6:coauthVersionMax="47" xr10:uidLastSave="{16081608-EBB2-46A2-A8F6-83A837F9ACDD}"/>
  <workbookProtection workbookAlgorithmName="SHA-512" workbookHashValue="EsLzoNulMG9yO3EtD8L/I2lBxkl6Z6+RUH2nFz/c0Lq0bgTSnri/dQqmL0J7lAGzzZIxPJv7vphVjQfQmxYFSQ==" workbookSaltValue="PkFJzoyj9yD5q3mAWi8ivA==" workbookSpinCount="100000" lockStructure="1"/>
  <bookViews>
    <workbookView xWindow="-120" yWindow="-120" windowWidth="38640" windowHeight="21120" xr2:uid="{BDAC1948-7764-40DE-9E0D-6BB5BFA2338E}"/>
  </bookViews>
  <sheets>
    <sheet name="Introduction" sheetId="12" r:id="rId1"/>
    <sheet name="Assets" sheetId="14" r:id="rId2"/>
    <sheet name="Interfaces" sheetId="15" r:id="rId3"/>
    <sheet name="Entities" sheetId="16" r:id="rId4"/>
    <sheet name="Mapping_Assets_Interfaces" sheetId="23" r:id="rId5"/>
    <sheet name="Mapping_Assets_Entities" sheetId="24" r:id="rId6"/>
    <sheet name="Mapping_Entities_Interfaces" sheetId="25" r:id="rId7"/>
    <sheet name="E.Info ACM-AUM-SSM-SCM-DLM-CCK" sheetId="3" r:id="rId8"/>
    <sheet name="E.Info SUM" sheetId="5" r:id="rId9"/>
    <sheet name="E.Info RLM-NMM-TCM" sheetId="6" r:id="rId10"/>
    <sheet name="E.Info LGM" sheetId="11" r:id="rId11"/>
    <sheet name="E.Info GEC-1" sheetId="10" r:id="rId12"/>
    <sheet name="E.Info GEC-2-7" sheetId="7" r:id="rId13"/>
    <sheet name="E.Info GEC-8" sheetId="27" r:id="rId14"/>
    <sheet name="E.Info CRY" sheetId="8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1" i="6" l="1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D51" i="3" l="1" a="1"/>
  <c r="D51" i="3" s="1"/>
  <c r="D50" i="3" a="1"/>
  <c r="D50" i="3" s="1"/>
  <c r="D49" i="3" a="1"/>
  <c r="D49" i="3" s="1"/>
  <c r="D48" i="3" a="1"/>
  <c r="D48" i="3" s="1"/>
  <c r="D47" i="3" a="1"/>
  <c r="D47" i="3" s="1"/>
  <c r="D46" i="3" a="1"/>
  <c r="D46" i="3" s="1"/>
  <c r="D45" i="3" a="1"/>
  <c r="D45" i="3" s="1"/>
  <c r="D44" i="3" a="1"/>
  <c r="D44" i="3" s="1"/>
  <c r="D43" i="3" a="1"/>
  <c r="D43" i="3" s="1"/>
  <c r="D42" i="3" a="1"/>
  <c r="D42" i="3" s="1"/>
  <c r="D41" i="3" a="1"/>
  <c r="D41" i="3" s="1"/>
  <c r="D40" i="3" a="1"/>
  <c r="D40" i="3" s="1"/>
  <c r="D39" i="3" a="1"/>
  <c r="D39" i="3" s="1"/>
  <c r="D38" i="3" a="1"/>
  <c r="D38" i="3" s="1"/>
  <c r="D37" i="3" a="1"/>
  <c r="D37" i="3" s="1"/>
  <c r="D36" i="3" a="1"/>
  <c r="D36" i="3" s="1"/>
  <c r="D35" i="3" a="1"/>
  <c r="D35" i="3" s="1"/>
  <c r="D34" i="3" a="1"/>
  <c r="D34" i="3" s="1"/>
  <c r="D33" i="3" a="1"/>
  <c r="D33" i="3" s="1"/>
  <c r="D32" i="3" a="1"/>
  <c r="D32" i="3" s="1"/>
  <c r="D31" i="3" a="1"/>
  <c r="D31" i="3" s="1"/>
  <c r="D30" i="3" a="1"/>
  <c r="D30" i="3" s="1"/>
  <c r="D29" i="3" a="1"/>
  <c r="D29" i="3" s="1"/>
  <c r="D28" i="3" a="1"/>
  <c r="D28" i="3" s="1"/>
  <c r="D27" i="3" a="1"/>
  <c r="D27" i="3" s="1"/>
  <c r="D26" i="3" a="1"/>
  <c r="D26" i="3" s="1"/>
  <c r="D25" i="3" a="1"/>
  <c r="D25" i="3" s="1"/>
  <c r="D24" i="3" a="1"/>
  <c r="D24" i="3" s="1"/>
  <c r="D23" i="3" a="1"/>
  <c r="D23" i="3" s="1"/>
  <c r="D22" i="3" a="1"/>
  <c r="D22" i="3" s="1"/>
  <c r="D21" i="3" a="1"/>
  <c r="D21" i="3" s="1"/>
  <c r="D20" i="3" a="1"/>
  <c r="D20" i="3" s="1"/>
  <c r="D19" i="3" a="1"/>
  <c r="D19" i="3" s="1"/>
  <c r="D18" i="3" a="1"/>
  <c r="D18" i="3" s="1"/>
  <c r="D17" i="3" a="1"/>
  <c r="D17" i="3" s="1"/>
  <c r="D16" i="3" a="1"/>
  <c r="D16" i="3" s="1"/>
  <c r="D15" i="3" a="1"/>
  <c r="D15" i="3" s="1"/>
  <c r="D14" i="3" a="1"/>
  <c r="D14" i="3" s="1"/>
  <c r="D13" i="3" a="1"/>
  <c r="D13" i="3" s="1"/>
  <c r="D12" i="3" a="1"/>
  <c r="D12" i="3" s="1"/>
  <c r="D11" i="3" a="1"/>
  <c r="D11" i="3" s="1"/>
  <c r="A5" i="3"/>
  <c r="C23" i="11"/>
  <c r="H51" i="3" a="1"/>
  <c r="H51" i="3" s="1"/>
  <c r="H50" i="3" a="1"/>
  <c r="H50" i="3" s="1"/>
  <c r="H49" i="3" a="1"/>
  <c r="H49" i="3" s="1"/>
  <c r="H48" i="3" a="1"/>
  <c r="H48" i="3" s="1"/>
  <c r="H47" i="3" a="1"/>
  <c r="H47" i="3" s="1"/>
  <c r="H46" i="3" a="1"/>
  <c r="H46" i="3" s="1"/>
  <c r="H45" i="3" a="1"/>
  <c r="H45" i="3" s="1"/>
  <c r="H44" i="3" a="1"/>
  <c r="H44" i="3" s="1"/>
  <c r="H43" i="3" a="1"/>
  <c r="H43" i="3" s="1"/>
  <c r="H42" i="3" a="1"/>
  <c r="H42" i="3" s="1"/>
  <c r="H41" i="3" a="1"/>
  <c r="H41" i="3" s="1"/>
  <c r="H40" i="3" a="1"/>
  <c r="H40" i="3" s="1"/>
  <c r="H39" i="3" a="1"/>
  <c r="H39" i="3" s="1"/>
  <c r="H38" i="3" a="1"/>
  <c r="H38" i="3" s="1"/>
  <c r="H37" i="3" a="1"/>
  <c r="H37" i="3" s="1"/>
  <c r="H36" i="3" a="1"/>
  <c r="H36" i="3" s="1"/>
  <c r="H35" i="3" a="1"/>
  <c r="H35" i="3" s="1"/>
  <c r="H34" i="3" a="1"/>
  <c r="H34" i="3" s="1"/>
  <c r="H33" i="3" a="1"/>
  <c r="H33" i="3" s="1"/>
  <c r="H32" i="3" a="1"/>
  <c r="H32" i="3" s="1"/>
  <c r="H31" i="3" a="1"/>
  <c r="H31" i="3" s="1"/>
  <c r="H30" i="3" a="1"/>
  <c r="H30" i="3" s="1"/>
  <c r="H29" i="3" a="1"/>
  <c r="H29" i="3" s="1"/>
  <c r="H28" i="3" a="1"/>
  <c r="H28" i="3" s="1"/>
  <c r="H27" i="3" a="1"/>
  <c r="H27" i="3" s="1"/>
  <c r="H26" i="3" a="1"/>
  <c r="H26" i="3" s="1"/>
  <c r="H25" i="3" a="1"/>
  <c r="H25" i="3" s="1"/>
  <c r="H24" i="3" a="1"/>
  <c r="H24" i="3" s="1"/>
  <c r="H23" i="3" a="1"/>
  <c r="H23" i="3" s="1"/>
  <c r="H22" i="3" a="1"/>
  <c r="H22" i="3" s="1"/>
  <c r="H21" i="3" a="1"/>
  <c r="H21" i="3" s="1"/>
  <c r="H20" i="3" a="1"/>
  <c r="H20" i="3" s="1"/>
  <c r="H19" i="3" a="1"/>
  <c r="H19" i="3" s="1"/>
  <c r="H18" i="3" a="1"/>
  <c r="H18" i="3" s="1"/>
  <c r="H17" i="3" a="1"/>
  <c r="H17" i="3" s="1"/>
  <c r="H16" i="3" a="1"/>
  <c r="H16" i="3" s="1"/>
  <c r="H15" i="3" a="1"/>
  <c r="H15" i="3" s="1"/>
  <c r="H14" i="3" a="1"/>
  <c r="H14" i="3" s="1"/>
  <c r="H13" i="3" a="1"/>
  <c r="H13" i="3" s="1"/>
  <c r="H12" i="3" a="1"/>
  <c r="H12" i="3" s="1"/>
  <c r="H11" i="3" a="1"/>
  <c r="H11" i="3" s="1"/>
  <c r="B5" i="3"/>
  <c r="D5" i="3" s="1" a="1"/>
  <c r="D5" i="3" s="1"/>
  <c r="B4" i="3"/>
  <c r="K4" i="3" s="1"/>
  <c r="E5" i="27"/>
  <c r="E6" i="27"/>
  <c r="E7" i="27"/>
  <c r="E8" i="27"/>
  <c r="E9" i="27"/>
  <c r="E10" i="27"/>
  <c r="E11" i="27"/>
  <c r="E12" i="27"/>
  <c r="E13" i="27"/>
  <c r="E14" i="27"/>
  <c r="E15" i="27"/>
  <c r="E16" i="27"/>
  <c r="E17" i="27"/>
  <c r="E18" i="27"/>
  <c r="E19" i="27"/>
  <c r="E20" i="27"/>
  <c r="E21" i="27"/>
  <c r="E22" i="27"/>
  <c r="E23" i="27"/>
  <c r="E24" i="27"/>
  <c r="E25" i="27"/>
  <c r="E26" i="27"/>
  <c r="E27" i="27"/>
  <c r="E28" i="27"/>
  <c r="E29" i="27"/>
  <c r="E30" i="27"/>
  <c r="E31" i="27"/>
  <c r="E32" i="27"/>
  <c r="E33" i="27"/>
  <c r="E34" i="27"/>
  <c r="E35" i="27"/>
  <c r="E36" i="27"/>
  <c r="E37" i="27"/>
  <c r="E38" i="27"/>
  <c r="E39" i="27"/>
  <c r="E40" i="27"/>
  <c r="E41" i="27"/>
  <c r="E42" i="27"/>
  <c r="E43" i="27"/>
  <c r="E44" i="27"/>
  <c r="E45" i="27"/>
  <c r="E46" i="27"/>
  <c r="E47" i="27"/>
  <c r="E48" i="27"/>
  <c r="E49" i="27"/>
  <c r="E50" i="27"/>
  <c r="E4" i="27"/>
  <c r="C4" i="27"/>
  <c r="C50" i="27"/>
  <c r="C49" i="27"/>
  <c r="C48" i="27"/>
  <c r="C47" i="27"/>
  <c r="C46" i="27"/>
  <c r="C45" i="27"/>
  <c r="C44" i="27"/>
  <c r="C43" i="27"/>
  <c r="C42" i="27"/>
  <c r="C41" i="27"/>
  <c r="C40" i="27"/>
  <c r="C39" i="27"/>
  <c r="C38" i="27"/>
  <c r="C37" i="27"/>
  <c r="C36" i="27"/>
  <c r="C35" i="27"/>
  <c r="C34" i="27"/>
  <c r="C33" i="27"/>
  <c r="C32" i="27"/>
  <c r="C31" i="27"/>
  <c r="C30" i="27"/>
  <c r="C29" i="27"/>
  <c r="C28" i="27"/>
  <c r="C27" i="27"/>
  <c r="C26" i="27"/>
  <c r="C25" i="27"/>
  <c r="C24" i="27"/>
  <c r="C23" i="27"/>
  <c r="C22" i="27"/>
  <c r="C21" i="27"/>
  <c r="C20" i="27"/>
  <c r="C19" i="27"/>
  <c r="C18" i="27"/>
  <c r="C17" i="27"/>
  <c r="C16" i="27"/>
  <c r="C15" i="27"/>
  <c r="C14" i="27"/>
  <c r="C13" i="27"/>
  <c r="C12" i="27"/>
  <c r="C11" i="27"/>
  <c r="C10" i="27"/>
  <c r="C9" i="27"/>
  <c r="C8" i="27"/>
  <c r="C7" i="27"/>
  <c r="C6" i="27"/>
  <c r="C5" i="27"/>
  <c r="Q37" i="7"/>
  <c r="A4" i="7"/>
  <c r="I4" i="7" s="1"/>
  <c r="A50" i="7"/>
  <c r="B50" i="7" s="1" a="1"/>
  <c r="B50" i="7" s="1"/>
  <c r="A49" i="7"/>
  <c r="G49" i="7" s="1"/>
  <c r="A48" i="7"/>
  <c r="N48" i="7" s="1"/>
  <c r="A47" i="7"/>
  <c r="N47" i="7" s="1"/>
  <c r="A46" i="7"/>
  <c r="N46" i="7" s="1"/>
  <c r="A45" i="7"/>
  <c r="N45" i="7" s="1"/>
  <c r="A44" i="7"/>
  <c r="N44" i="7" s="1"/>
  <c r="A43" i="7"/>
  <c r="B43" i="7" s="1" a="1"/>
  <c r="B43" i="7" s="1"/>
  <c r="A42" i="7"/>
  <c r="Q42" i="7" s="1"/>
  <c r="A41" i="7"/>
  <c r="G41" i="7" s="1"/>
  <c r="A40" i="7"/>
  <c r="G40" i="7" s="1"/>
  <c r="A39" i="7"/>
  <c r="B39" i="7" s="1" a="1"/>
  <c r="B39" i="7" s="1"/>
  <c r="A38" i="7"/>
  <c r="B38" i="7" s="1" a="1"/>
  <c r="B38" i="7" s="1"/>
  <c r="A37" i="7"/>
  <c r="A36" i="7"/>
  <c r="G36" i="7" s="1"/>
  <c r="A35" i="7"/>
  <c r="Q35" i="7" s="1"/>
  <c r="A34" i="7"/>
  <c r="G34" i="7" s="1"/>
  <c r="A33" i="7"/>
  <c r="G33" i="7" s="1"/>
  <c r="A32" i="7"/>
  <c r="G32" i="7" s="1"/>
  <c r="A31" i="7"/>
  <c r="G31" i="7" s="1"/>
  <c r="A30" i="7"/>
  <c r="G30" i="7" s="1"/>
  <c r="A29" i="7"/>
  <c r="G29" i="7" s="1"/>
  <c r="A28" i="7"/>
  <c r="G28" i="7" s="1"/>
  <c r="A27" i="7"/>
  <c r="B27" i="7" s="1" a="1"/>
  <c r="B27" i="7" s="1"/>
  <c r="A26" i="7"/>
  <c r="Q26" i="7" s="1"/>
  <c r="A25" i="7"/>
  <c r="B25" i="7" s="1" a="1"/>
  <c r="B25" i="7" s="1"/>
  <c r="A24" i="7"/>
  <c r="B24" i="7" s="1" a="1"/>
  <c r="B24" i="7" s="1"/>
  <c r="A23" i="7"/>
  <c r="B23" i="7" s="1" a="1"/>
  <c r="B23" i="7" s="1"/>
  <c r="A22" i="7"/>
  <c r="N22" i="7" s="1"/>
  <c r="A21" i="7"/>
  <c r="G21" i="7" s="1"/>
  <c r="A20" i="7"/>
  <c r="G20" i="7" s="1"/>
  <c r="A19" i="7"/>
  <c r="G19" i="7" s="1"/>
  <c r="A18" i="7"/>
  <c r="G18" i="7" s="1"/>
  <c r="A17" i="7"/>
  <c r="G17" i="7" s="1"/>
  <c r="A16" i="7"/>
  <c r="G16" i="7" s="1"/>
  <c r="A15" i="7"/>
  <c r="G15" i="7" s="1"/>
  <c r="A14" i="7"/>
  <c r="G14" i="7" s="1"/>
  <c r="A13" i="7"/>
  <c r="I13" i="7" s="1"/>
  <c r="A12" i="7"/>
  <c r="G12" i="7" s="1"/>
  <c r="A11" i="7"/>
  <c r="G11" i="7" s="1"/>
  <c r="A10" i="7"/>
  <c r="G10" i="7" s="1"/>
  <c r="A9" i="7"/>
  <c r="G9" i="7" s="1"/>
  <c r="A8" i="7"/>
  <c r="G8" i="7" s="1"/>
  <c r="A7" i="7"/>
  <c r="B7" i="7" s="1" a="1"/>
  <c r="B7" i="7" s="1"/>
  <c r="A6" i="7"/>
  <c r="I6" i="7" s="1"/>
  <c r="A5" i="7"/>
  <c r="N5" i="7" s="1"/>
  <c r="F50" i="15"/>
  <c r="F49" i="15"/>
  <c r="F48" i="15"/>
  <c r="C50" i="7" s="1"/>
  <c r="F47" i="15"/>
  <c r="C49" i="7" s="1"/>
  <c r="F46" i="15"/>
  <c r="C48" i="7" s="1"/>
  <c r="F45" i="15"/>
  <c r="C47" i="7" s="1"/>
  <c r="F44" i="15"/>
  <c r="C46" i="7" s="1"/>
  <c r="F43" i="15"/>
  <c r="C45" i="7" s="1"/>
  <c r="F42" i="15"/>
  <c r="C44" i="7" s="1"/>
  <c r="F41" i="15"/>
  <c r="C43" i="7" s="1"/>
  <c r="F40" i="15"/>
  <c r="C42" i="7" s="1"/>
  <c r="F39" i="15"/>
  <c r="C41" i="7" s="1"/>
  <c r="F38" i="15"/>
  <c r="C40" i="7" s="1"/>
  <c r="F37" i="15"/>
  <c r="C39" i="7" s="1"/>
  <c r="F36" i="15"/>
  <c r="C38" i="7" s="1"/>
  <c r="F35" i="15"/>
  <c r="C37" i="7" s="1"/>
  <c r="F34" i="15"/>
  <c r="C36" i="7" s="1"/>
  <c r="F33" i="15"/>
  <c r="C35" i="7" s="1"/>
  <c r="F32" i="15"/>
  <c r="C34" i="7" s="1"/>
  <c r="F31" i="15"/>
  <c r="C33" i="7" s="1"/>
  <c r="F30" i="15"/>
  <c r="C32" i="7" s="1"/>
  <c r="F29" i="15"/>
  <c r="C31" i="7" s="1"/>
  <c r="F28" i="15"/>
  <c r="C30" i="7" s="1"/>
  <c r="F27" i="15"/>
  <c r="C29" i="7" s="1"/>
  <c r="F26" i="15"/>
  <c r="C28" i="7" s="1"/>
  <c r="F25" i="15"/>
  <c r="C27" i="7" s="1"/>
  <c r="F24" i="15"/>
  <c r="C26" i="7" s="1"/>
  <c r="F23" i="15"/>
  <c r="C25" i="7" s="1"/>
  <c r="F22" i="15"/>
  <c r="C24" i="7" s="1"/>
  <c r="F21" i="15"/>
  <c r="C23" i="7" s="1"/>
  <c r="F20" i="15"/>
  <c r="C22" i="7" s="1"/>
  <c r="F19" i="15"/>
  <c r="C21" i="7" s="1"/>
  <c r="F18" i="15"/>
  <c r="C20" i="7" s="1"/>
  <c r="F17" i="15"/>
  <c r="C19" i="7" s="1"/>
  <c r="F16" i="15"/>
  <c r="C18" i="7" s="1"/>
  <c r="F15" i="15"/>
  <c r="C17" i="7" s="1"/>
  <c r="F14" i="15"/>
  <c r="C16" i="7" s="1"/>
  <c r="F13" i="15"/>
  <c r="C15" i="7" s="1"/>
  <c r="F12" i="15"/>
  <c r="C14" i="7" s="1"/>
  <c r="F11" i="15"/>
  <c r="C13" i="7" s="1"/>
  <c r="F10" i="15"/>
  <c r="C12" i="7" s="1"/>
  <c r="F9" i="15"/>
  <c r="C11" i="7" s="1"/>
  <c r="E50" i="15"/>
  <c r="E49" i="15"/>
  <c r="E48" i="15"/>
  <c r="E47" i="15"/>
  <c r="E46" i="15"/>
  <c r="E45" i="15"/>
  <c r="E44" i="15"/>
  <c r="E43" i="15"/>
  <c r="E42" i="15"/>
  <c r="E41" i="15"/>
  <c r="E40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20" i="15"/>
  <c r="E19" i="15"/>
  <c r="E18" i="15"/>
  <c r="E17" i="15"/>
  <c r="E16" i="15"/>
  <c r="E15" i="15"/>
  <c r="E14" i="15"/>
  <c r="E13" i="15"/>
  <c r="E12" i="15"/>
  <c r="E11" i="15"/>
  <c r="E10" i="15"/>
  <c r="E9" i="15"/>
  <c r="F4" i="11"/>
  <c r="N4" i="3" l="1"/>
  <c r="Q38" i="7"/>
  <c r="N25" i="7"/>
  <c r="N26" i="7"/>
  <c r="N41" i="7"/>
  <c r="N42" i="7"/>
  <c r="Q5" i="7"/>
  <c r="Q6" i="7"/>
  <c r="Q10" i="7"/>
  <c r="Q20" i="7"/>
  <c r="Q21" i="7"/>
  <c r="Q22" i="7"/>
  <c r="Q36" i="7"/>
  <c r="Q19" i="7"/>
  <c r="Q7" i="7"/>
  <c r="Q23" i="7"/>
  <c r="Q39" i="7"/>
  <c r="Q8" i="7"/>
  <c r="Q24" i="7"/>
  <c r="Q40" i="7"/>
  <c r="Q9" i="7"/>
  <c r="Q25" i="7"/>
  <c r="Q41" i="7"/>
  <c r="N6" i="7"/>
  <c r="Q11" i="7"/>
  <c r="Q27" i="7"/>
  <c r="Q43" i="7"/>
  <c r="N24" i="7"/>
  <c r="Q12" i="7"/>
  <c r="Q28" i="7"/>
  <c r="Q44" i="7"/>
  <c r="Q13" i="7"/>
  <c r="Q29" i="7"/>
  <c r="Q45" i="7"/>
  <c r="Q14" i="7"/>
  <c r="Q30" i="7"/>
  <c r="Q46" i="7"/>
  <c r="N27" i="7"/>
  <c r="Q15" i="7"/>
  <c r="Q31" i="7"/>
  <c r="Q47" i="7"/>
  <c r="N38" i="7"/>
  <c r="Q16" i="7"/>
  <c r="Q32" i="7"/>
  <c r="Q48" i="7"/>
  <c r="N39" i="7"/>
  <c r="Q17" i="7"/>
  <c r="Q33" i="7"/>
  <c r="Q49" i="7"/>
  <c r="N40" i="7"/>
  <c r="Q18" i="7"/>
  <c r="Q34" i="7"/>
  <c r="Q50" i="7"/>
  <c r="N9" i="7"/>
  <c r="B8" i="7" a="1"/>
  <c r="B8" i="7" s="1"/>
  <c r="N10" i="7"/>
  <c r="B9" i="7" a="1"/>
  <c r="B9" i="7" s="1"/>
  <c r="N11" i="7"/>
  <c r="B10" i="7" a="1"/>
  <c r="B10" i="7" s="1"/>
  <c r="B11" i="7" a="1"/>
  <c r="B11" i="7" s="1"/>
  <c r="N23" i="7"/>
  <c r="B12" i="7" a="1"/>
  <c r="B12" i="7" s="1"/>
  <c r="B26" i="7" a="1"/>
  <c r="B26" i="7" s="1"/>
  <c r="B28" i="7" a="1"/>
  <c r="B28" i="7" s="1"/>
  <c r="B40" i="7" a="1"/>
  <c r="B40" i="7" s="1"/>
  <c r="B41" i="7" a="1"/>
  <c r="B41" i="7" s="1"/>
  <c r="B42" i="7" a="1"/>
  <c r="B42" i="7" s="1"/>
  <c r="N7" i="7"/>
  <c r="N43" i="7"/>
  <c r="N8" i="7"/>
  <c r="B44" i="7" a="1"/>
  <c r="B44" i="7" s="1"/>
  <c r="B46" i="7" a="1"/>
  <c r="B46" i="7" s="1"/>
  <c r="G37" i="7"/>
  <c r="N18" i="7"/>
  <c r="N34" i="7"/>
  <c r="N50" i="7"/>
  <c r="B19" i="7" a="1"/>
  <c r="B19" i="7" s="1"/>
  <c r="B35" i="7" a="1"/>
  <c r="B35" i="7" s="1"/>
  <c r="G38" i="7"/>
  <c r="N19" i="7"/>
  <c r="N35" i="7"/>
  <c r="B20" i="7" a="1"/>
  <c r="B20" i="7" s="1"/>
  <c r="B36" i="7" a="1"/>
  <c r="B36" i="7" s="1"/>
  <c r="N4" i="7"/>
  <c r="N20" i="7"/>
  <c r="N36" i="7"/>
  <c r="B21" i="7" a="1"/>
  <c r="B21" i="7" s="1"/>
  <c r="B37" i="7" a="1"/>
  <c r="B37" i="7" s="1"/>
  <c r="N21" i="7"/>
  <c r="N37" i="7"/>
  <c r="B22" i="7" a="1"/>
  <c r="B22" i="7" s="1"/>
  <c r="B29" i="7" a="1"/>
  <c r="B29" i="7" s="1"/>
  <c r="N13" i="7"/>
  <c r="B30" i="7" a="1"/>
  <c r="B30" i="7" s="1"/>
  <c r="N15" i="7"/>
  <c r="B16" i="7" a="1"/>
  <c r="B16" i="7" s="1"/>
  <c r="B48" i="7" a="1"/>
  <c r="B48" i="7" s="1"/>
  <c r="G35" i="7"/>
  <c r="N16" i="7"/>
  <c r="N32" i="7"/>
  <c r="B17" i="7" a="1"/>
  <c r="B17" i="7" s="1"/>
  <c r="B33" i="7" a="1"/>
  <c r="B33" i="7" s="1"/>
  <c r="B49" i="7" a="1"/>
  <c r="B49" i="7" s="1"/>
  <c r="N12" i="7"/>
  <c r="N28" i="7"/>
  <c r="B13" i="7" a="1"/>
  <c r="B13" i="7" s="1"/>
  <c r="B45" i="7" a="1"/>
  <c r="B45" i="7" s="1"/>
  <c r="N29" i="7"/>
  <c r="B14" i="7" a="1"/>
  <c r="B14" i="7" s="1"/>
  <c r="N14" i="7"/>
  <c r="N30" i="7"/>
  <c r="B15" i="7" a="1"/>
  <c r="B15" i="7" s="1"/>
  <c r="B31" i="7" a="1"/>
  <c r="B31" i="7" s="1"/>
  <c r="B47" i="7" a="1"/>
  <c r="B47" i="7" s="1"/>
  <c r="G22" i="7"/>
  <c r="N31" i="7"/>
  <c r="B32" i="7" a="1"/>
  <c r="B32" i="7" s="1"/>
  <c r="N17" i="7"/>
  <c r="N33" i="7"/>
  <c r="N49" i="7"/>
  <c r="B18" i="7" a="1"/>
  <c r="B18" i="7" s="1"/>
  <c r="B34" i="7" a="1"/>
  <c r="B34" i="7" s="1"/>
  <c r="G23" i="7"/>
  <c r="G39" i="7"/>
  <c r="G6" i="7"/>
  <c r="G24" i="7"/>
  <c r="G25" i="7"/>
  <c r="G26" i="7"/>
  <c r="G42" i="7"/>
  <c r="G27" i="7"/>
  <c r="G43" i="7"/>
  <c r="G44" i="7"/>
  <c r="G4" i="7"/>
  <c r="G13" i="7"/>
  <c r="G45" i="7"/>
  <c r="G5" i="7"/>
  <c r="G46" i="7"/>
  <c r="G47" i="7"/>
  <c r="G48" i="7"/>
  <c r="G50" i="7"/>
  <c r="K4" i="7"/>
  <c r="K19" i="7"/>
  <c r="K35" i="7"/>
  <c r="K6" i="7"/>
  <c r="K22" i="7"/>
  <c r="K38" i="7"/>
  <c r="K20" i="7"/>
  <c r="K7" i="7"/>
  <c r="K39" i="7"/>
  <c r="K5" i="7"/>
  <c r="K8" i="7"/>
  <c r="K24" i="7"/>
  <c r="K40" i="7"/>
  <c r="K21" i="7"/>
  <c r="K23" i="7"/>
  <c r="K9" i="7"/>
  <c r="K25" i="7"/>
  <c r="K41" i="7"/>
  <c r="K10" i="7"/>
  <c r="K26" i="7"/>
  <c r="K42" i="7"/>
  <c r="K11" i="7"/>
  <c r="K27" i="7"/>
  <c r="K43" i="7"/>
  <c r="K12" i="7"/>
  <c r="K28" i="7"/>
  <c r="K44" i="7"/>
  <c r="K13" i="7"/>
  <c r="K29" i="7"/>
  <c r="K45" i="7"/>
  <c r="K14" i="7"/>
  <c r="K30" i="7"/>
  <c r="K46" i="7"/>
  <c r="K36" i="7"/>
  <c r="K15" i="7"/>
  <c r="K31" i="7"/>
  <c r="K47" i="7"/>
  <c r="K37" i="7"/>
  <c r="K16" i="7"/>
  <c r="K32" i="7"/>
  <c r="K48" i="7"/>
  <c r="K17" i="7"/>
  <c r="K33" i="7"/>
  <c r="K49" i="7"/>
  <c r="K18" i="7"/>
  <c r="K34" i="7"/>
  <c r="K50" i="7"/>
  <c r="I19" i="7"/>
  <c r="I20" i="7"/>
  <c r="I24" i="7"/>
  <c r="I25" i="7"/>
  <c r="I21" i="7"/>
  <c r="I22" i="7"/>
  <c r="I23" i="7"/>
  <c r="I26" i="7"/>
  <c r="I35" i="7"/>
  <c r="I36" i="7"/>
  <c r="I5" i="7"/>
  <c r="I37" i="7"/>
  <c r="I38" i="7"/>
  <c r="I7" i="7"/>
  <c r="I39" i="7"/>
  <c r="I8" i="7"/>
  <c r="I40" i="7"/>
  <c r="I9" i="7"/>
  <c r="I41" i="7"/>
  <c r="I10" i="7"/>
  <c r="I42" i="7"/>
  <c r="I11" i="7"/>
  <c r="I27" i="7"/>
  <c r="I43" i="7"/>
  <c r="I12" i="7"/>
  <c r="I28" i="7"/>
  <c r="I44" i="7"/>
  <c r="I29" i="7"/>
  <c r="I45" i="7"/>
  <c r="I14" i="7"/>
  <c r="I30" i="7"/>
  <c r="I46" i="7"/>
  <c r="I15" i="7"/>
  <c r="I31" i="7"/>
  <c r="I47" i="7"/>
  <c r="I16" i="7"/>
  <c r="I32" i="7"/>
  <c r="I48" i="7"/>
  <c r="I17" i="7"/>
  <c r="I33" i="7"/>
  <c r="I49" i="7"/>
  <c r="I18" i="7"/>
  <c r="I34" i="7"/>
  <c r="I50" i="7"/>
  <c r="G7" i="7"/>
  <c r="M2" i="15" a="1"/>
  <c r="M2" i="15" s="1"/>
  <c r="D50" i="10" a="1"/>
  <c r="D50" i="10" s="1"/>
  <c r="D49" i="10" a="1"/>
  <c r="D49" i="10" s="1"/>
  <c r="D48" i="10" a="1"/>
  <c r="D48" i="10" s="1"/>
  <c r="D47" i="10" a="1"/>
  <c r="D47" i="10" s="1"/>
  <c r="D46" i="10" a="1"/>
  <c r="D46" i="10" s="1"/>
  <c r="D45" i="10" a="1"/>
  <c r="D45" i="10" s="1"/>
  <c r="D44" i="10" a="1"/>
  <c r="D44" i="10" s="1"/>
  <c r="D43" i="10" a="1"/>
  <c r="D43" i="10" s="1"/>
  <c r="D42" i="10" a="1"/>
  <c r="D42" i="10" s="1"/>
  <c r="D41" i="10" a="1"/>
  <c r="D41" i="10" s="1"/>
  <c r="D40" i="10" a="1"/>
  <c r="D40" i="10" s="1"/>
  <c r="D39" i="10" a="1"/>
  <c r="D39" i="10" s="1"/>
  <c r="D38" i="10" a="1"/>
  <c r="D38" i="10" s="1"/>
  <c r="D37" i="10" a="1"/>
  <c r="D37" i="10" s="1"/>
  <c r="D36" i="10" a="1"/>
  <c r="D36" i="10" s="1"/>
  <c r="D35" i="10" a="1"/>
  <c r="D35" i="10" s="1"/>
  <c r="D34" i="10" a="1"/>
  <c r="D34" i="10" s="1"/>
  <c r="D33" i="10" a="1"/>
  <c r="D33" i="10" s="1"/>
  <c r="D32" i="10" a="1"/>
  <c r="D32" i="10" s="1"/>
  <c r="D31" i="10" a="1"/>
  <c r="D31" i="10" s="1"/>
  <c r="D30" i="10" a="1"/>
  <c r="D30" i="10" s="1"/>
  <c r="D29" i="10" a="1"/>
  <c r="D29" i="10" s="1"/>
  <c r="D28" i="10" a="1"/>
  <c r="D28" i="10" s="1"/>
  <c r="D27" i="10" a="1"/>
  <c r="D27" i="10" s="1"/>
  <c r="D26" i="10" a="1"/>
  <c r="D26" i="10" s="1"/>
  <c r="D25" i="10" a="1"/>
  <c r="D25" i="10" s="1"/>
  <c r="D24" i="10" a="1"/>
  <c r="D24" i="10" s="1"/>
  <c r="D23" i="10" a="1"/>
  <c r="D23" i="10" s="1"/>
  <c r="D22" i="10" a="1"/>
  <c r="D22" i="10" s="1"/>
  <c r="D21" i="10" a="1"/>
  <c r="D21" i="10" s="1"/>
  <c r="D20" i="10" a="1"/>
  <c r="D20" i="10" s="1"/>
  <c r="D19" i="10" a="1"/>
  <c r="D19" i="10" s="1"/>
  <c r="D18" i="10" a="1"/>
  <c r="D18" i="10" s="1"/>
  <c r="D17" i="10" a="1"/>
  <c r="D17" i="10" s="1"/>
  <c r="D16" i="10" a="1"/>
  <c r="D16" i="10" s="1"/>
  <c r="D15" i="10" a="1"/>
  <c r="D15" i="10" s="1"/>
  <c r="D14" i="10" a="1"/>
  <c r="D14" i="10" s="1"/>
  <c r="D13" i="10" a="1"/>
  <c r="D13" i="10" s="1"/>
  <c r="D12" i="10" a="1"/>
  <c r="D12" i="10" s="1"/>
  <c r="D11" i="10" a="1"/>
  <c r="D11" i="10" s="1"/>
  <c r="D10" i="10" a="1"/>
  <c r="D10" i="10" s="1"/>
  <c r="D9" i="10" a="1"/>
  <c r="D9" i="10" s="1"/>
  <c r="D8" i="10" a="1"/>
  <c r="D8" i="10" s="1"/>
  <c r="D7" i="10" a="1"/>
  <c r="D7" i="10" s="1"/>
  <c r="D6" i="10" a="1"/>
  <c r="D6" i="10" s="1"/>
  <c r="D5" i="10" a="1"/>
  <c r="D5" i="10" s="1"/>
  <c r="G50" i="10" a="1"/>
  <c r="G50" i="10" s="1"/>
  <c r="G49" i="10" a="1"/>
  <c r="G49" i="10" s="1"/>
  <c r="G48" i="10" a="1"/>
  <c r="G48" i="10" s="1"/>
  <c r="G47" i="10" a="1"/>
  <c r="G47" i="10" s="1"/>
  <c r="G46" i="10" a="1"/>
  <c r="G46" i="10" s="1"/>
  <c r="G45" i="10" a="1"/>
  <c r="G45" i="10" s="1"/>
  <c r="G44" i="10" a="1"/>
  <c r="G44" i="10" s="1"/>
  <c r="G43" i="10" a="1"/>
  <c r="G43" i="10" s="1"/>
  <c r="G42" i="10" a="1"/>
  <c r="G42" i="10" s="1"/>
  <c r="G41" i="10" a="1"/>
  <c r="G41" i="10" s="1"/>
  <c r="G40" i="10" a="1"/>
  <c r="G40" i="10" s="1"/>
  <c r="G39" i="10" a="1"/>
  <c r="G39" i="10" s="1"/>
  <c r="G38" i="10" a="1"/>
  <c r="G38" i="10" s="1"/>
  <c r="G37" i="10" a="1"/>
  <c r="G37" i="10" s="1"/>
  <c r="G36" i="10" a="1"/>
  <c r="G36" i="10" s="1"/>
  <c r="G35" i="10" a="1"/>
  <c r="G35" i="10" s="1"/>
  <c r="G34" i="10" a="1"/>
  <c r="G34" i="10" s="1"/>
  <c r="G33" i="10" a="1"/>
  <c r="G33" i="10" s="1"/>
  <c r="G32" i="10" a="1"/>
  <c r="G32" i="10" s="1"/>
  <c r="G31" i="10" a="1"/>
  <c r="G31" i="10" s="1"/>
  <c r="G30" i="10" a="1"/>
  <c r="G30" i="10" s="1"/>
  <c r="G29" i="10" a="1"/>
  <c r="G29" i="10" s="1"/>
  <c r="G28" i="10" a="1"/>
  <c r="G28" i="10" s="1"/>
  <c r="G27" i="10" a="1"/>
  <c r="G27" i="10" s="1"/>
  <c r="G26" i="10" a="1"/>
  <c r="G26" i="10" s="1"/>
  <c r="G25" i="10" a="1"/>
  <c r="G25" i="10" s="1"/>
  <c r="G24" i="10" a="1"/>
  <c r="G24" i="10" s="1"/>
  <c r="G23" i="10" a="1"/>
  <c r="G23" i="10" s="1"/>
  <c r="G22" i="10" a="1"/>
  <c r="G22" i="10" s="1"/>
  <c r="G21" i="10" a="1"/>
  <c r="G21" i="10" s="1"/>
  <c r="G20" i="10" a="1"/>
  <c r="G20" i="10" s="1"/>
  <c r="G19" i="10" a="1"/>
  <c r="G19" i="10" s="1"/>
  <c r="G18" i="10" a="1"/>
  <c r="G18" i="10" s="1"/>
  <c r="G17" i="10" a="1"/>
  <c r="G17" i="10" s="1"/>
  <c r="G16" i="10" a="1"/>
  <c r="G16" i="10" s="1"/>
  <c r="G15" i="10" a="1"/>
  <c r="G15" i="10" s="1"/>
  <c r="G14" i="10" a="1"/>
  <c r="G14" i="10" s="1"/>
  <c r="G13" i="10" a="1"/>
  <c r="G13" i="10" s="1"/>
  <c r="G12" i="10" a="1"/>
  <c r="G12" i="10" s="1"/>
  <c r="G11" i="10" a="1"/>
  <c r="G11" i="10" s="1"/>
  <c r="G10" i="10" a="1"/>
  <c r="G10" i="10" s="1"/>
  <c r="G9" i="10" a="1"/>
  <c r="G9" i="10" s="1"/>
  <c r="G8" i="10" a="1"/>
  <c r="G8" i="10" s="1"/>
  <c r="G7" i="10" a="1"/>
  <c r="G7" i="10" s="1"/>
  <c r="G6" i="10" a="1"/>
  <c r="G6" i="10" s="1"/>
  <c r="G5" i="10" a="1"/>
  <c r="G5" i="10" s="1"/>
  <c r="G4" i="10" a="1"/>
  <c r="G4" i="10" s="1"/>
  <c r="D4" i="10" a="1"/>
  <c r="D4" i="10" s="1"/>
  <c r="K51" i="11"/>
  <c r="K50" i="11"/>
  <c r="K49" i="11"/>
  <c r="K48" i="11"/>
  <c r="K47" i="11"/>
  <c r="K46" i="11"/>
  <c r="K45" i="11"/>
  <c r="K44" i="11"/>
  <c r="K43" i="11"/>
  <c r="K42" i="11"/>
  <c r="K41" i="11"/>
  <c r="K40" i="11"/>
  <c r="K39" i="11"/>
  <c r="K38" i="11"/>
  <c r="K37" i="11"/>
  <c r="K36" i="11"/>
  <c r="K35" i="11"/>
  <c r="K34" i="11"/>
  <c r="K33" i="11"/>
  <c r="K32" i="11"/>
  <c r="K31" i="11"/>
  <c r="K30" i="11"/>
  <c r="K29" i="11"/>
  <c r="K28" i="11"/>
  <c r="K27" i="11"/>
  <c r="K26" i="11"/>
  <c r="K25" i="11"/>
  <c r="K24" i="11"/>
  <c r="K23" i="11"/>
  <c r="K22" i="11"/>
  <c r="K21" i="11"/>
  <c r="K20" i="11"/>
  <c r="K19" i="11"/>
  <c r="K18" i="11"/>
  <c r="K17" i="11"/>
  <c r="K16" i="11"/>
  <c r="K15" i="11"/>
  <c r="K14" i="11"/>
  <c r="K13" i="11"/>
  <c r="K12" i="11"/>
  <c r="K11" i="11"/>
  <c r="K10" i="11"/>
  <c r="K9" i="11"/>
  <c r="K8" i="11"/>
  <c r="K7" i="11"/>
  <c r="K6" i="11"/>
  <c r="K5" i="11"/>
  <c r="K4" i="11"/>
  <c r="C51" i="11"/>
  <c r="C50" i="11"/>
  <c r="C49" i="11"/>
  <c r="C48" i="11"/>
  <c r="C47" i="11"/>
  <c r="C46" i="11"/>
  <c r="C45" i="11"/>
  <c r="C44" i="11"/>
  <c r="C43" i="11"/>
  <c r="C42" i="11"/>
  <c r="C41" i="11"/>
  <c r="C40" i="11"/>
  <c r="C39" i="11"/>
  <c r="C38" i="11"/>
  <c r="C37" i="11"/>
  <c r="C36" i="11"/>
  <c r="C35" i="11"/>
  <c r="C34" i="11"/>
  <c r="C33" i="11"/>
  <c r="C32" i="11"/>
  <c r="C31" i="11"/>
  <c r="C30" i="11"/>
  <c r="C29" i="11"/>
  <c r="C28" i="11"/>
  <c r="C27" i="11"/>
  <c r="C26" i="11"/>
  <c r="C25" i="11"/>
  <c r="C24" i="11"/>
  <c r="C22" i="11"/>
  <c r="C21" i="11"/>
  <c r="C20" i="11"/>
  <c r="C19" i="11"/>
  <c r="C18" i="11"/>
  <c r="C17" i="11"/>
  <c r="C16" i="11"/>
  <c r="C15" i="11"/>
  <c r="C14" i="11"/>
  <c r="C13" i="11"/>
  <c r="C12" i="11"/>
  <c r="C11" i="11"/>
  <c r="C10" i="11"/>
  <c r="C9" i="11"/>
  <c r="C8" i="11"/>
  <c r="C7" i="11"/>
  <c r="C6" i="11"/>
  <c r="C5" i="11"/>
  <c r="C4" i="11"/>
  <c r="H51" i="11"/>
  <c r="H50" i="11"/>
  <c r="H49" i="11"/>
  <c r="H48" i="11"/>
  <c r="H47" i="11"/>
  <c r="H46" i="11"/>
  <c r="H45" i="11"/>
  <c r="H44" i="11"/>
  <c r="H43" i="11"/>
  <c r="H42" i="11"/>
  <c r="H41" i="11"/>
  <c r="H40" i="11"/>
  <c r="H39" i="11"/>
  <c r="H38" i="11"/>
  <c r="H37" i="11"/>
  <c r="H36" i="11"/>
  <c r="H35" i="11"/>
  <c r="H34" i="11"/>
  <c r="H33" i="11"/>
  <c r="H32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9" i="11"/>
  <c r="H18" i="11"/>
  <c r="H17" i="11"/>
  <c r="H16" i="11"/>
  <c r="H15" i="11"/>
  <c r="H14" i="11"/>
  <c r="H13" i="11"/>
  <c r="H12" i="11"/>
  <c r="H11" i="11"/>
  <c r="H10" i="11"/>
  <c r="H9" i="11"/>
  <c r="H8" i="11"/>
  <c r="H7" i="11"/>
  <c r="H5" i="11"/>
  <c r="H4" i="11"/>
  <c r="H6" i="11"/>
  <c r="F51" i="11"/>
  <c r="F50" i="11"/>
  <c r="F49" i="11"/>
  <c r="F48" i="11"/>
  <c r="F47" i="11"/>
  <c r="F46" i="11"/>
  <c r="F45" i="11"/>
  <c r="F44" i="11"/>
  <c r="F43" i="11"/>
  <c r="F42" i="11"/>
  <c r="F41" i="11"/>
  <c r="F40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F8" i="11"/>
  <c r="F7" i="11"/>
  <c r="F6" i="11"/>
  <c r="F5" i="11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E4" i="8"/>
  <c r="M26" i="6" l="1" a="1"/>
  <c r="M26" i="6" s="1"/>
  <c r="H41" i="6" a="1"/>
  <c r="H41" i="6" s="1"/>
  <c r="C7" i="6"/>
  <c r="C4" i="6"/>
  <c r="H44" i="6" a="1"/>
  <c r="H44" i="6" s="1"/>
  <c r="M8" i="6" a="1"/>
  <c r="M8" i="6" s="1"/>
  <c r="H40" i="6" a="1"/>
  <c r="H40" i="6" s="1"/>
  <c r="M9" i="6" a="1"/>
  <c r="M9" i="6" s="1"/>
  <c r="H8" i="6" a="1"/>
  <c r="H8" i="6" s="1"/>
  <c r="M10" i="6" a="1"/>
  <c r="M10" i="6" s="1"/>
  <c r="H9" i="6" a="1"/>
  <c r="H9" i="6" s="1"/>
  <c r="M23" i="6" a="1"/>
  <c r="M23" i="6" s="1"/>
  <c r="H12" i="6" a="1"/>
  <c r="H12" i="6" s="1"/>
  <c r="M24" i="6" a="1"/>
  <c r="M24" i="6" s="1"/>
  <c r="H22" i="6" a="1"/>
  <c r="H22" i="6" s="1"/>
  <c r="M25" i="6" a="1"/>
  <c r="M25" i="6" s="1"/>
  <c r="H23" i="6" a="1"/>
  <c r="H23" i="6" s="1"/>
  <c r="H24" i="6" a="1"/>
  <c r="H24" i="6" s="1"/>
  <c r="M39" i="6" a="1"/>
  <c r="M39" i="6" s="1"/>
  <c r="H25" i="6" a="1"/>
  <c r="H25" i="6" s="1"/>
  <c r="M40" i="6" a="1"/>
  <c r="M40" i="6" s="1"/>
  <c r="H28" i="6" a="1"/>
  <c r="H28" i="6" s="1"/>
  <c r="M41" i="6" a="1"/>
  <c r="M41" i="6" s="1"/>
  <c r="H38" i="6" a="1"/>
  <c r="H38" i="6" s="1"/>
  <c r="M42" i="6" a="1"/>
  <c r="M42" i="6" s="1"/>
  <c r="H39" i="6" a="1"/>
  <c r="H39" i="6" s="1"/>
  <c r="H10" i="6" a="1"/>
  <c r="H10" i="6" s="1"/>
  <c r="H26" i="6" a="1"/>
  <c r="H26" i="6" s="1"/>
  <c r="H42" i="6" a="1"/>
  <c r="H42" i="6" s="1"/>
  <c r="M11" i="6" a="1"/>
  <c r="M11" i="6" s="1"/>
  <c r="M27" i="6" a="1"/>
  <c r="M27" i="6" s="1"/>
  <c r="M43" i="6" a="1"/>
  <c r="M43" i="6" s="1"/>
  <c r="H11" i="6" a="1"/>
  <c r="H11" i="6" s="1"/>
  <c r="H27" i="6" a="1"/>
  <c r="H27" i="6" s="1"/>
  <c r="H43" i="6" a="1"/>
  <c r="H43" i="6" s="1"/>
  <c r="M12" i="6" a="1"/>
  <c r="M12" i="6" s="1"/>
  <c r="M28" i="6" a="1"/>
  <c r="M28" i="6" s="1"/>
  <c r="M44" i="6" a="1"/>
  <c r="M44" i="6" s="1"/>
  <c r="M13" i="6" a="1"/>
  <c r="M13" i="6" s="1"/>
  <c r="M29" i="6" a="1"/>
  <c r="M29" i="6" s="1"/>
  <c r="M45" i="6" a="1"/>
  <c r="M45" i="6" s="1"/>
  <c r="M14" i="6" a="1"/>
  <c r="M14" i="6" s="1"/>
  <c r="M30" i="6" a="1"/>
  <c r="M30" i="6" s="1"/>
  <c r="M46" i="6" a="1"/>
  <c r="M46" i="6" s="1"/>
  <c r="H45" i="6" a="1"/>
  <c r="H45" i="6" s="1"/>
  <c r="H14" i="6" a="1"/>
  <c r="H14" i="6" s="1"/>
  <c r="H30" i="6" a="1"/>
  <c r="H30" i="6" s="1"/>
  <c r="H46" i="6" a="1"/>
  <c r="H46" i="6" s="1"/>
  <c r="M15" i="6" a="1"/>
  <c r="M15" i="6" s="1"/>
  <c r="M31" i="6" a="1"/>
  <c r="M31" i="6" s="1"/>
  <c r="M47" i="6" a="1"/>
  <c r="M47" i="6" s="1"/>
  <c r="H15" i="6" a="1"/>
  <c r="H15" i="6" s="1"/>
  <c r="H31" i="6" a="1"/>
  <c r="H31" i="6" s="1"/>
  <c r="H47" i="6" a="1"/>
  <c r="H47" i="6" s="1"/>
  <c r="M16" i="6" a="1"/>
  <c r="M16" i="6" s="1"/>
  <c r="M32" i="6" a="1"/>
  <c r="M32" i="6" s="1"/>
  <c r="M48" i="6" a="1"/>
  <c r="M48" i="6" s="1"/>
  <c r="H13" i="6" a="1"/>
  <c r="H13" i="6" s="1"/>
  <c r="H16" i="6" a="1"/>
  <c r="H16" i="6" s="1"/>
  <c r="H32" i="6" a="1"/>
  <c r="H32" i="6" s="1"/>
  <c r="H48" i="6" a="1"/>
  <c r="H48" i="6" s="1"/>
  <c r="M17" i="6" a="1"/>
  <c r="M17" i="6" s="1"/>
  <c r="M33" i="6" a="1"/>
  <c r="M33" i="6" s="1"/>
  <c r="M49" i="6" a="1"/>
  <c r="M49" i="6" s="1"/>
  <c r="H29" i="6" a="1"/>
  <c r="H29" i="6" s="1"/>
  <c r="H17" i="6" a="1"/>
  <c r="H17" i="6" s="1"/>
  <c r="H33" i="6" a="1"/>
  <c r="H33" i="6" s="1"/>
  <c r="H49" i="6" a="1"/>
  <c r="H49" i="6" s="1"/>
  <c r="M18" i="6" a="1"/>
  <c r="M18" i="6" s="1"/>
  <c r="M34" i="6" a="1"/>
  <c r="M34" i="6" s="1"/>
  <c r="M50" i="6" a="1"/>
  <c r="M50" i="6" s="1"/>
  <c r="H18" i="6" a="1"/>
  <c r="H18" i="6" s="1"/>
  <c r="H34" i="6" a="1"/>
  <c r="H34" i="6" s="1"/>
  <c r="H50" i="6" a="1"/>
  <c r="H50" i="6" s="1"/>
  <c r="M19" i="6" a="1"/>
  <c r="M19" i="6" s="1"/>
  <c r="M35" i="6" a="1"/>
  <c r="M35" i="6" s="1"/>
  <c r="M51" i="6" a="1"/>
  <c r="M51" i="6" s="1"/>
  <c r="H19" i="6" a="1"/>
  <c r="H19" i="6" s="1"/>
  <c r="H35" i="6" a="1"/>
  <c r="H35" i="6" s="1"/>
  <c r="H51" i="6" a="1"/>
  <c r="H51" i="6" s="1"/>
  <c r="M20" i="6" a="1"/>
  <c r="M20" i="6" s="1"/>
  <c r="M36" i="6" a="1"/>
  <c r="M36" i="6" s="1"/>
  <c r="E6" i="6"/>
  <c r="H20" i="6" a="1"/>
  <c r="H20" i="6" s="1"/>
  <c r="H36" i="6" a="1"/>
  <c r="H36" i="6" s="1"/>
  <c r="M21" i="6" a="1"/>
  <c r="M21" i="6" s="1"/>
  <c r="M37" i="6" a="1"/>
  <c r="M37" i="6" s="1"/>
  <c r="E5" i="6"/>
  <c r="H21" i="6" a="1"/>
  <c r="H21" i="6" s="1"/>
  <c r="H37" i="6" a="1"/>
  <c r="H37" i="6" s="1"/>
  <c r="M22" i="6" a="1"/>
  <c r="M22" i="6" s="1"/>
  <c r="M38" i="6" a="1"/>
  <c r="M38" i="6" s="1"/>
  <c r="E10" i="6"/>
  <c r="E22" i="6"/>
  <c r="E38" i="6"/>
  <c r="E21" i="6"/>
  <c r="E37" i="6"/>
  <c r="E7" i="6"/>
  <c r="E23" i="6"/>
  <c r="E39" i="6"/>
  <c r="E8" i="6"/>
  <c r="E24" i="6"/>
  <c r="E40" i="6"/>
  <c r="E9" i="6"/>
  <c r="E25" i="6"/>
  <c r="E41" i="6"/>
  <c r="E26" i="6"/>
  <c r="E42" i="6"/>
  <c r="E11" i="6"/>
  <c r="E27" i="6"/>
  <c r="E43" i="6"/>
  <c r="E12" i="6"/>
  <c r="E28" i="6"/>
  <c r="E44" i="6"/>
  <c r="E13" i="6"/>
  <c r="E29" i="6"/>
  <c r="E45" i="6"/>
  <c r="E14" i="6"/>
  <c r="E30" i="6"/>
  <c r="E46" i="6"/>
  <c r="E15" i="6"/>
  <c r="E31" i="6"/>
  <c r="E47" i="6"/>
  <c r="E16" i="6"/>
  <c r="E32" i="6"/>
  <c r="E48" i="6"/>
  <c r="E17" i="6"/>
  <c r="E33" i="6"/>
  <c r="E49" i="6"/>
  <c r="E18" i="6"/>
  <c r="E34" i="6"/>
  <c r="E50" i="6"/>
  <c r="E19" i="6"/>
  <c r="E35" i="6"/>
  <c r="E51" i="6"/>
  <c r="E20" i="6"/>
  <c r="E36" i="6"/>
  <c r="B36" i="6"/>
  <c r="B33" i="6"/>
  <c r="B50" i="6"/>
  <c r="B34" i="6"/>
  <c r="B18" i="6"/>
  <c r="B48" i="6"/>
  <c r="B32" i="6"/>
  <c r="B16" i="6"/>
  <c r="B47" i="6"/>
  <c r="B31" i="6"/>
  <c r="B15" i="6"/>
  <c r="B20" i="6"/>
  <c r="B35" i="6"/>
  <c r="B46" i="6"/>
  <c r="B30" i="6"/>
  <c r="B14" i="6"/>
  <c r="B45" i="6"/>
  <c r="B29" i="6"/>
  <c r="B13" i="6"/>
  <c r="B44" i="6"/>
  <c r="B28" i="6"/>
  <c r="B12" i="6"/>
  <c r="B43" i="6"/>
  <c r="B27" i="6"/>
  <c r="B11" i="6"/>
  <c r="B42" i="6"/>
  <c r="B26" i="6"/>
  <c r="B10" i="6"/>
  <c r="B51" i="6"/>
  <c r="B41" i="6"/>
  <c r="B25" i="6"/>
  <c r="B9" i="6"/>
  <c r="B40" i="6"/>
  <c r="B24" i="6"/>
  <c r="B8" i="6"/>
  <c r="B39" i="6"/>
  <c r="B23" i="6"/>
  <c r="B7" i="6"/>
  <c r="B19" i="6"/>
  <c r="B49" i="6"/>
  <c r="B38" i="6"/>
  <c r="B22" i="6"/>
  <c r="B17" i="6"/>
  <c r="B37" i="6"/>
  <c r="B21" i="6"/>
  <c r="B4" i="8"/>
  <c r="B6" i="3"/>
  <c r="C3" i="23" a="1"/>
  <c r="C3" i="23" s="1"/>
  <c r="C2" i="23" a="1"/>
  <c r="G4" i="5" a="1"/>
  <c r="G4" i="5" s="1"/>
  <c r="L51" i="5"/>
  <c r="L50" i="5"/>
  <c r="L49" i="5"/>
  <c r="L48" i="5"/>
  <c r="L47" i="5"/>
  <c r="L46" i="5"/>
  <c r="L45" i="5"/>
  <c r="L44" i="5"/>
  <c r="L43" i="5"/>
  <c r="L42" i="5"/>
  <c r="L41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L4" i="5"/>
  <c r="G51" i="5" a="1"/>
  <c r="G51" i="5" s="1"/>
  <c r="G50" i="5" a="1"/>
  <c r="G50" i="5" s="1"/>
  <c r="G49" i="5" a="1"/>
  <c r="G49" i="5" s="1"/>
  <c r="G48" i="5" a="1"/>
  <c r="G48" i="5" s="1"/>
  <c r="G47" i="5" a="1"/>
  <c r="G47" i="5" s="1"/>
  <c r="G46" i="5" a="1"/>
  <c r="G46" i="5" s="1"/>
  <c r="G45" i="5" a="1"/>
  <c r="G45" i="5" s="1"/>
  <c r="G44" i="5" a="1"/>
  <c r="G44" i="5" s="1"/>
  <c r="G43" i="5" a="1"/>
  <c r="G43" i="5" s="1"/>
  <c r="G42" i="5" a="1"/>
  <c r="G42" i="5" s="1"/>
  <c r="G41" i="5" a="1"/>
  <c r="G41" i="5" s="1"/>
  <c r="G40" i="5" a="1"/>
  <c r="G40" i="5" s="1"/>
  <c r="G39" i="5" a="1"/>
  <c r="G39" i="5" s="1"/>
  <c r="G38" i="5" a="1"/>
  <c r="G38" i="5" s="1"/>
  <c r="G37" i="5" a="1"/>
  <c r="G37" i="5" s="1"/>
  <c r="G36" i="5" a="1"/>
  <c r="G36" i="5" s="1"/>
  <c r="G35" i="5" a="1"/>
  <c r="G35" i="5" s="1"/>
  <c r="G34" i="5" a="1"/>
  <c r="G34" i="5" s="1"/>
  <c r="G33" i="5" a="1"/>
  <c r="G33" i="5" s="1"/>
  <c r="G32" i="5" a="1"/>
  <c r="G32" i="5" s="1"/>
  <c r="G31" i="5" a="1"/>
  <c r="G31" i="5" s="1"/>
  <c r="G30" i="5" a="1"/>
  <c r="G30" i="5" s="1"/>
  <c r="G29" i="5" a="1"/>
  <c r="G29" i="5" s="1"/>
  <c r="G28" i="5" a="1"/>
  <c r="G28" i="5" s="1"/>
  <c r="G27" i="5" a="1"/>
  <c r="G27" i="5" s="1"/>
  <c r="G26" i="5" a="1"/>
  <c r="G26" i="5" s="1"/>
  <c r="G25" i="5" a="1"/>
  <c r="G25" i="5" s="1"/>
  <c r="G24" i="5" a="1"/>
  <c r="G24" i="5" s="1"/>
  <c r="G23" i="5" a="1"/>
  <c r="G23" i="5" s="1"/>
  <c r="G22" i="5" a="1"/>
  <c r="G22" i="5" s="1"/>
  <c r="G21" i="5" a="1"/>
  <c r="G21" i="5" s="1"/>
  <c r="G20" i="5" a="1"/>
  <c r="G20" i="5" s="1"/>
  <c r="G19" i="5" a="1"/>
  <c r="G19" i="5" s="1"/>
  <c r="G18" i="5" a="1"/>
  <c r="G18" i="5" s="1"/>
  <c r="G17" i="5" a="1"/>
  <c r="G17" i="5" s="1"/>
  <c r="G16" i="5" a="1"/>
  <c r="G16" i="5" s="1"/>
  <c r="G15" i="5" a="1"/>
  <c r="G15" i="5" s="1"/>
  <c r="G14" i="5" a="1"/>
  <c r="G14" i="5" s="1"/>
  <c r="G13" i="5" a="1"/>
  <c r="G13" i="5" s="1"/>
  <c r="G12" i="5" a="1"/>
  <c r="G12" i="5" s="1"/>
  <c r="G11" i="5" a="1"/>
  <c r="G11" i="5" s="1"/>
  <c r="G10" i="5" a="1"/>
  <c r="G10" i="5" s="1"/>
  <c r="G9" i="5" a="1"/>
  <c r="G9" i="5" s="1"/>
  <c r="G8" i="5" a="1"/>
  <c r="G8" i="5" s="1"/>
  <c r="G7" i="5" a="1"/>
  <c r="G7" i="5" s="1"/>
  <c r="G6" i="5" a="1"/>
  <c r="G6" i="5" s="1"/>
  <c r="G5" i="5" a="1"/>
  <c r="G5" i="5" s="1"/>
  <c r="A7" i="3"/>
  <c r="A6" i="3"/>
  <c r="A4" i="3"/>
  <c r="BS4" i="3" s="1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D9" i="3" s="1" a="1"/>
  <c r="D9" i="3" s="1"/>
  <c r="B8" i="3"/>
  <c r="D8" i="3" s="1" a="1"/>
  <c r="D8" i="3" s="1"/>
  <c r="B7" i="3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  <c r="E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8" i="15"/>
  <c r="E7" i="15"/>
  <c r="E6" i="15"/>
  <c r="F6" i="15"/>
  <c r="C8" i="7" s="1"/>
  <c r="F7" i="15"/>
  <c r="C9" i="7" s="1"/>
  <c r="F8" i="15"/>
  <c r="C10" i="7" s="1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C2" i="25" a="1"/>
  <c r="L3" i="25" s="1" a="1"/>
  <c r="L3" i="25" s="1"/>
  <c r="A4" i="25" a="1"/>
  <c r="B16" i="25" s="1" a="1"/>
  <c r="B16" i="25" s="1"/>
  <c r="C2" i="24" a="1"/>
  <c r="C2" i="24" s="1"/>
  <c r="A5" i="24" a="1"/>
  <c r="B17" i="24" s="1" a="1"/>
  <c r="B17" i="24" s="1"/>
  <c r="A6" i="23" a="1"/>
  <c r="A6" i="23" s="1"/>
  <c r="C2" i="23" l="1"/>
  <c r="AM5" i="23" a="1"/>
  <c r="AM5" i="23" s="1"/>
  <c r="Q7" i="14" a="1"/>
  <c r="Q7" i="14" s="1"/>
  <c r="BM9" i="3" s="1"/>
  <c r="P21" i="14" a="1"/>
  <c r="P21" i="14" s="1"/>
  <c r="BL23" i="3" s="1"/>
  <c r="P37" i="14" a="1"/>
  <c r="P37" i="14" s="1"/>
  <c r="BL39" i="3" s="1"/>
  <c r="Q11" i="14" a="1"/>
  <c r="Q11" i="14" s="1"/>
  <c r="BM13" i="3" s="1"/>
  <c r="Q27" i="14" a="1"/>
  <c r="Q27" i="14" s="1"/>
  <c r="BM29" i="3" s="1"/>
  <c r="Q43" i="14" a="1"/>
  <c r="Q43" i="14" s="1"/>
  <c r="BM45" i="3" s="1"/>
  <c r="P9" i="14" a="1"/>
  <c r="P9" i="14" s="1"/>
  <c r="BL11" i="3" s="1"/>
  <c r="P25" i="14" a="1"/>
  <c r="P25" i="14" s="1"/>
  <c r="BL27" i="3" s="1"/>
  <c r="P41" i="14" a="1"/>
  <c r="P41" i="14" s="1"/>
  <c r="BL43" i="3" s="1"/>
  <c r="Q15" i="14" a="1"/>
  <c r="Q15" i="14" s="1"/>
  <c r="BM17" i="3" s="1"/>
  <c r="Q31" i="14" a="1"/>
  <c r="Q31" i="14" s="1"/>
  <c r="BM33" i="3" s="1"/>
  <c r="Q47" i="14" a="1"/>
  <c r="Q47" i="14" s="1"/>
  <c r="BM49" i="3" s="1"/>
  <c r="Q13" i="14" a="1"/>
  <c r="Q13" i="14" s="1"/>
  <c r="BM15" i="3" s="1"/>
  <c r="P26" i="14" a="1"/>
  <c r="P26" i="14" s="1"/>
  <c r="BL28" i="3" s="1"/>
  <c r="P42" i="14" a="1"/>
  <c r="P42" i="14" s="1"/>
  <c r="BL44" i="3" s="1"/>
  <c r="Q16" i="14" a="1"/>
  <c r="Q16" i="14" s="1"/>
  <c r="BM18" i="3" s="1"/>
  <c r="Q32" i="14" a="1"/>
  <c r="Q32" i="14" s="1"/>
  <c r="BM34" i="3" s="1"/>
  <c r="Q48" i="14" a="1"/>
  <c r="Q48" i="14" s="1"/>
  <c r="BM50" i="3" s="1"/>
  <c r="Q29" i="14" a="1"/>
  <c r="Q29" i="14" s="1"/>
  <c r="BM31" i="3" s="1"/>
  <c r="P40" i="14" a="1"/>
  <c r="P40" i="14" s="1"/>
  <c r="BL42" i="3" s="1"/>
  <c r="P11" i="14" a="1"/>
  <c r="P11" i="14" s="1"/>
  <c r="BL13" i="3" s="1"/>
  <c r="P27" i="14" a="1"/>
  <c r="P27" i="14" s="1"/>
  <c r="BL29" i="3" s="1"/>
  <c r="P43" i="14" a="1"/>
  <c r="P43" i="14" s="1"/>
  <c r="BL45" i="3" s="1"/>
  <c r="Q17" i="14" a="1"/>
  <c r="Q17" i="14" s="1"/>
  <c r="BM19" i="3" s="1"/>
  <c r="Q33" i="14" a="1"/>
  <c r="Q33" i="14" s="1"/>
  <c r="BM35" i="3" s="1"/>
  <c r="Q49" i="14" a="1"/>
  <c r="Q49" i="14" s="1"/>
  <c r="BM51" i="3" s="1"/>
  <c r="P39" i="14" a="1"/>
  <c r="P39" i="14" s="1"/>
  <c r="BL41" i="3" s="1"/>
  <c r="Q46" i="14" a="1"/>
  <c r="Q46" i="14" s="1"/>
  <c r="BM48" i="3" s="1"/>
  <c r="P10" i="14" a="1"/>
  <c r="P10" i="14" s="1"/>
  <c r="BL12" i="3" s="1"/>
  <c r="P12" i="14" a="1"/>
  <c r="P12" i="14" s="1"/>
  <c r="BL14" i="3" s="1"/>
  <c r="P28" i="14" a="1"/>
  <c r="P28" i="14" s="1"/>
  <c r="BL30" i="3" s="1"/>
  <c r="P44" i="14" a="1"/>
  <c r="P44" i="14" s="1"/>
  <c r="BL46" i="3" s="1"/>
  <c r="Q18" i="14" a="1"/>
  <c r="Q18" i="14" s="1"/>
  <c r="BM20" i="3" s="1"/>
  <c r="Q34" i="14" a="1"/>
  <c r="Q34" i="14" s="1"/>
  <c r="BM36" i="3" s="1"/>
  <c r="Q50" i="14" a="1"/>
  <c r="Q50" i="14" s="1"/>
  <c r="P22" i="14" a="1"/>
  <c r="P22" i="14" s="1"/>
  <c r="BL24" i="3" s="1"/>
  <c r="Q45" i="14" a="1"/>
  <c r="Q45" i="14" s="1"/>
  <c r="BM47" i="3" s="1"/>
  <c r="P13" i="14" a="1"/>
  <c r="P13" i="14" s="1"/>
  <c r="BL15" i="3" s="1"/>
  <c r="P29" i="14" a="1"/>
  <c r="P29" i="14" s="1"/>
  <c r="BL31" i="3" s="1"/>
  <c r="P45" i="14" a="1"/>
  <c r="P45" i="14" s="1"/>
  <c r="BL47" i="3" s="1"/>
  <c r="Q19" i="14" a="1"/>
  <c r="Q19" i="14" s="1"/>
  <c r="BM21" i="3" s="1"/>
  <c r="Q35" i="14" a="1"/>
  <c r="Q35" i="14" s="1"/>
  <c r="BM37" i="3" s="1"/>
  <c r="Q12" i="14" a="1"/>
  <c r="Q12" i="14" s="1"/>
  <c r="BM14" i="3" s="1"/>
  <c r="P23" i="14" a="1"/>
  <c r="P23" i="14" s="1"/>
  <c r="BL25" i="3" s="1"/>
  <c r="P14" i="14" a="1"/>
  <c r="P14" i="14" s="1"/>
  <c r="BL16" i="3" s="1"/>
  <c r="P30" i="14" a="1"/>
  <c r="P30" i="14" s="1"/>
  <c r="BL32" i="3" s="1"/>
  <c r="P46" i="14" a="1"/>
  <c r="P46" i="14" s="1"/>
  <c r="BL48" i="3" s="1"/>
  <c r="Q20" i="14" a="1"/>
  <c r="Q20" i="14" s="1"/>
  <c r="BM22" i="3" s="1"/>
  <c r="Q36" i="14" a="1"/>
  <c r="Q36" i="14" s="1"/>
  <c r="BM38" i="3" s="1"/>
  <c r="P15" i="14" a="1"/>
  <c r="P15" i="14" s="1"/>
  <c r="BL17" i="3" s="1"/>
  <c r="P31" i="14" a="1"/>
  <c r="P31" i="14" s="1"/>
  <c r="BL33" i="3" s="1"/>
  <c r="P47" i="14" a="1"/>
  <c r="P47" i="14" s="1"/>
  <c r="BL49" i="3" s="1"/>
  <c r="Q21" i="14" a="1"/>
  <c r="Q21" i="14" s="1"/>
  <c r="BM23" i="3" s="1"/>
  <c r="Q37" i="14" a="1"/>
  <c r="Q37" i="14" s="1"/>
  <c r="BM39" i="3" s="1"/>
  <c r="Q44" i="14" a="1"/>
  <c r="Q44" i="14" s="1"/>
  <c r="BM46" i="3" s="1"/>
  <c r="P16" i="14" a="1"/>
  <c r="P16" i="14" s="1"/>
  <c r="BL18" i="3" s="1"/>
  <c r="P32" i="14" a="1"/>
  <c r="P32" i="14" s="1"/>
  <c r="BL34" i="3" s="1"/>
  <c r="P48" i="14" a="1"/>
  <c r="P48" i="14" s="1"/>
  <c r="BL50" i="3" s="1"/>
  <c r="Q22" i="14" a="1"/>
  <c r="Q22" i="14" s="1"/>
  <c r="BM24" i="3" s="1"/>
  <c r="Q38" i="14" a="1"/>
  <c r="Q38" i="14" s="1"/>
  <c r="BM40" i="3" s="1"/>
  <c r="P38" i="14" a="1"/>
  <c r="P38" i="14" s="1"/>
  <c r="BL40" i="3" s="1"/>
  <c r="Q30" i="14" a="1"/>
  <c r="Q30" i="14" s="1"/>
  <c r="BM32" i="3" s="1"/>
  <c r="P17" i="14" a="1"/>
  <c r="P17" i="14" s="1"/>
  <c r="BL19" i="3" s="1"/>
  <c r="P33" i="14" a="1"/>
  <c r="P33" i="14" s="1"/>
  <c r="BL35" i="3" s="1"/>
  <c r="P49" i="14" a="1"/>
  <c r="P49" i="14" s="1"/>
  <c r="BL51" i="3" s="1"/>
  <c r="Q23" i="14" a="1"/>
  <c r="Q23" i="14" s="1"/>
  <c r="BM25" i="3" s="1"/>
  <c r="Q39" i="14" a="1"/>
  <c r="Q39" i="14" s="1"/>
  <c r="BM41" i="3" s="1"/>
  <c r="Q14" i="14" a="1"/>
  <c r="Q14" i="14" s="1"/>
  <c r="BM16" i="3" s="1"/>
  <c r="P18" i="14" a="1"/>
  <c r="P18" i="14" s="1"/>
  <c r="BL20" i="3" s="1"/>
  <c r="P34" i="14" a="1"/>
  <c r="P34" i="14" s="1"/>
  <c r="BL36" i="3" s="1"/>
  <c r="P50" i="14" a="1"/>
  <c r="P50" i="14" s="1"/>
  <c r="Q24" i="14" a="1"/>
  <c r="Q24" i="14" s="1"/>
  <c r="BM26" i="3" s="1"/>
  <c r="Q40" i="14" a="1"/>
  <c r="Q40" i="14" s="1"/>
  <c r="BM42" i="3" s="1"/>
  <c r="P19" i="14" a="1"/>
  <c r="P19" i="14" s="1"/>
  <c r="BL21" i="3" s="1"/>
  <c r="P35" i="14" a="1"/>
  <c r="P35" i="14" s="1"/>
  <c r="BL37" i="3" s="1"/>
  <c r="Q9" i="14" a="1"/>
  <c r="Q9" i="14" s="1"/>
  <c r="BM11" i="3" s="1"/>
  <c r="Q25" i="14" a="1"/>
  <c r="Q25" i="14" s="1"/>
  <c r="BM27" i="3" s="1"/>
  <c r="Q41" i="14" a="1"/>
  <c r="Q41" i="14" s="1"/>
  <c r="BM43" i="3" s="1"/>
  <c r="Q28" i="14" a="1"/>
  <c r="Q28" i="14" s="1"/>
  <c r="BM30" i="3" s="1"/>
  <c r="P24" i="14" a="1"/>
  <c r="P24" i="14" s="1"/>
  <c r="BL26" i="3" s="1"/>
  <c r="P20" i="14" a="1"/>
  <c r="P20" i="14" s="1"/>
  <c r="BL22" i="3" s="1"/>
  <c r="P36" i="14" a="1"/>
  <c r="P36" i="14" s="1"/>
  <c r="BL38" i="3" s="1"/>
  <c r="Q10" i="14" a="1"/>
  <c r="Q10" i="14" s="1"/>
  <c r="BM12" i="3" s="1"/>
  <c r="Q26" i="14" a="1"/>
  <c r="Q26" i="14" s="1"/>
  <c r="BM28" i="3" s="1"/>
  <c r="Q42" i="14" a="1"/>
  <c r="Q42" i="14" s="1"/>
  <c r="BM44" i="3" s="1"/>
  <c r="N14" i="3"/>
  <c r="K14" i="3"/>
  <c r="N30" i="3"/>
  <c r="K30" i="3"/>
  <c r="N46" i="3"/>
  <c r="K46" i="3"/>
  <c r="N18" i="3"/>
  <c r="K18" i="3"/>
  <c r="K34" i="3"/>
  <c r="N34" i="3"/>
  <c r="K50" i="3"/>
  <c r="N50" i="3"/>
  <c r="N16" i="3"/>
  <c r="K16" i="3"/>
  <c r="N19" i="3"/>
  <c r="K19" i="3"/>
  <c r="N35" i="3"/>
  <c r="K35" i="3"/>
  <c r="K51" i="3"/>
  <c r="N51" i="3"/>
  <c r="N31" i="3"/>
  <c r="K31" i="3"/>
  <c r="K20" i="3"/>
  <c r="N20" i="3"/>
  <c r="K36" i="3"/>
  <c r="N36" i="3"/>
  <c r="N15" i="3"/>
  <c r="K15" i="3"/>
  <c r="N21" i="3"/>
  <c r="K21" i="3"/>
  <c r="N37" i="3"/>
  <c r="K37" i="3"/>
  <c r="N5" i="3"/>
  <c r="K5" i="3"/>
  <c r="N22" i="3"/>
  <c r="K22" i="3"/>
  <c r="N38" i="3"/>
  <c r="K38" i="3"/>
  <c r="K32" i="3"/>
  <c r="N32" i="3"/>
  <c r="N7" i="3"/>
  <c r="K7" i="3"/>
  <c r="N23" i="3"/>
  <c r="K23" i="3"/>
  <c r="N39" i="3"/>
  <c r="K39" i="3"/>
  <c r="N33" i="3"/>
  <c r="K33" i="3"/>
  <c r="N8" i="3"/>
  <c r="K8" i="3"/>
  <c r="N24" i="3"/>
  <c r="K24" i="3"/>
  <c r="N40" i="3"/>
  <c r="K40" i="3"/>
  <c r="N9" i="3"/>
  <c r="K9" i="3"/>
  <c r="N25" i="3"/>
  <c r="K25" i="3"/>
  <c r="N41" i="3"/>
  <c r="K41" i="3"/>
  <c r="N49" i="3"/>
  <c r="K49" i="3"/>
  <c r="N10" i="3"/>
  <c r="K10" i="3"/>
  <c r="N26" i="3"/>
  <c r="K26" i="3"/>
  <c r="N42" i="3"/>
  <c r="K42" i="3"/>
  <c r="N11" i="3"/>
  <c r="K11" i="3"/>
  <c r="N27" i="3"/>
  <c r="K27" i="3"/>
  <c r="K43" i="3"/>
  <c r="N43" i="3"/>
  <c r="N48" i="3"/>
  <c r="K48" i="3"/>
  <c r="N12" i="3"/>
  <c r="K12" i="3"/>
  <c r="N28" i="3"/>
  <c r="K28" i="3"/>
  <c r="N44" i="3"/>
  <c r="K44" i="3"/>
  <c r="N47" i="3"/>
  <c r="K47" i="3"/>
  <c r="N6" i="3"/>
  <c r="K6" i="3"/>
  <c r="N17" i="3"/>
  <c r="K17" i="3"/>
  <c r="N13" i="3"/>
  <c r="K13" i="3"/>
  <c r="N29" i="3"/>
  <c r="K29" i="3"/>
  <c r="N45" i="3"/>
  <c r="K45" i="3"/>
  <c r="F6" i="3"/>
  <c r="F5" i="3"/>
  <c r="F7" i="3"/>
  <c r="F8" i="3"/>
  <c r="F9" i="3"/>
  <c r="F10" i="3"/>
  <c r="F16" i="3"/>
  <c r="F14" i="3"/>
  <c r="F30" i="3"/>
  <c r="F46" i="3"/>
  <c r="F18" i="3"/>
  <c r="F34" i="3"/>
  <c r="F50" i="3"/>
  <c r="F47" i="3"/>
  <c r="F49" i="3"/>
  <c r="F19" i="3"/>
  <c r="F35" i="3"/>
  <c r="F51" i="3"/>
  <c r="F17" i="3"/>
  <c r="F20" i="3"/>
  <c r="F36" i="3"/>
  <c r="F4" i="3"/>
  <c r="F21" i="3"/>
  <c r="F37" i="3"/>
  <c r="F31" i="3"/>
  <c r="F22" i="3"/>
  <c r="F38" i="3"/>
  <c r="F23" i="3"/>
  <c r="F39" i="3"/>
  <c r="F24" i="3"/>
  <c r="F40" i="3"/>
  <c r="F15" i="3"/>
  <c r="F33" i="3"/>
  <c r="F25" i="3"/>
  <c r="F41" i="3"/>
  <c r="F26" i="3"/>
  <c r="F42" i="3"/>
  <c r="F11" i="3"/>
  <c r="F27" i="3"/>
  <c r="F43" i="3"/>
  <c r="F32" i="3"/>
  <c r="F12" i="3"/>
  <c r="F28" i="3"/>
  <c r="F44" i="3"/>
  <c r="F48" i="3"/>
  <c r="F13" i="3"/>
  <c r="F29" i="3"/>
  <c r="F45" i="3"/>
  <c r="B4" i="6"/>
  <c r="M4" i="6" a="1"/>
  <c r="M4" i="6" s="1"/>
  <c r="H4" i="6" a="1"/>
  <c r="H4" i="6" s="1"/>
  <c r="E4" i="6"/>
  <c r="H7" i="6" a="1"/>
  <c r="H7" i="6" s="1"/>
  <c r="M7" i="6" a="1"/>
  <c r="M7" i="6" s="1"/>
  <c r="B5" i="6"/>
  <c r="B6" i="6"/>
  <c r="C5" i="6"/>
  <c r="H5" i="6" a="1"/>
  <c r="H5" i="6" s="1"/>
  <c r="M5" i="6" a="1"/>
  <c r="M5" i="6" s="1"/>
  <c r="C6" i="6"/>
  <c r="M6" i="6" a="1"/>
  <c r="M6" i="6" s="1"/>
  <c r="H6" i="6" a="1"/>
  <c r="H6" i="6" s="1"/>
  <c r="CN8" i="3"/>
  <c r="CK8" i="3" a="1"/>
  <c r="CK8" i="3" s="1"/>
  <c r="CK42" i="3" a="1"/>
  <c r="CK42" i="3" s="1"/>
  <c r="CN42" i="3"/>
  <c r="CN10" i="3"/>
  <c r="CK10" i="3" a="1"/>
  <c r="CK10" i="3" s="1"/>
  <c r="CK41" i="3" a="1"/>
  <c r="CK41" i="3" s="1"/>
  <c r="CN41" i="3"/>
  <c r="CK25" i="3" a="1"/>
  <c r="CK25" i="3" s="1"/>
  <c r="CN25" i="3"/>
  <c r="CN9" i="3"/>
  <c r="CK9" i="3" a="1"/>
  <c r="CK9" i="3" s="1"/>
  <c r="CK36" i="3" a="1"/>
  <c r="CK36" i="3" s="1"/>
  <c r="CN36" i="3"/>
  <c r="CK20" i="3" a="1"/>
  <c r="CK20" i="3" s="1"/>
  <c r="CN20" i="3"/>
  <c r="CN21" i="3"/>
  <c r="CK21" i="3" a="1"/>
  <c r="CK21" i="3" s="1"/>
  <c r="CN18" i="3"/>
  <c r="CK18" i="3" a="1"/>
  <c r="CK18" i="3" s="1"/>
  <c r="CN35" i="3"/>
  <c r="CK35" i="3" a="1"/>
  <c r="CK35" i="3" s="1"/>
  <c r="CK49" i="3" a="1"/>
  <c r="CK49" i="3" s="1"/>
  <c r="CN49" i="3"/>
  <c r="CN33" i="3"/>
  <c r="CK33" i="3" a="1"/>
  <c r="CK33" i="3" s="1"/>
  <c r="CN17" i="3"/>
  <c r="CK17" i="3" a="1"/>
  <c r="CK17" i="3" s="1"/>
  <c r="CK34" i="3" a="1"/>
  <c r="CK34" i="3" s="1"/>
  <c r="CN34" i="3"/>
  <c r="CK48" i="3" a="1"/>
  <c r="CK48" i="3" s="1"/>
  <c r="CN48" i="3"/>
  <c r="CN32" i="3"/>
  <c r="CK32" i="3" a="1"/>
  <c r="CK32" i="3" s="1"/>
  <c r="CN16" i="3"/>
  <c r="CK16" i="3" a="1"/>
  <c r="CK16" i="3" s="1"/>
  <c r="CN39" i="3"/>
  <c r="CK39" i="3" a="1"/>
  <c r="CK39" i="3" s="1"/>
  <c r="CK37" i="3" a="1"/>
  <c r="CK37" i="3" s="1"/>
  <c r="CN37" i="3"/>
  <c r="CN51" i="3"/>
  <c r="CK51" i="3" a="1"/>
  <c r="CK51" i="3" s="1"/>
  <c r="CN47" i="3"/>
  <c r="CK47" i="3" a="1"/>
  <c r="CK47" i="3" s="1"/>
  <c r="CN31" i="3"/>
  <c r="CK31" i="3" a="1"/>
  <c r="CK31" i="3" s="1"/>
  <c r="CK15" i="3" a="1"/>
  <c r="CK15" i="3" s="1"/>
  <c r="CN15" i="3"/>
  <c r="CK38" i="3" a="1"/>
  <c r="CK38" i="3" s="1"/>
  <c r="CN38" i="3"/>
  <c r="CN19" i="3"/>
  <c r="CK19" i="3" a="1"/>
  <c r="CK19" i="3" s="1"/>
  <c r="CN46" i="3"/>
  <c r="CK46" i="3" a="1"/>
  <c r="CK46" i="3" s="1"/>
  <c r="CK30" i="3" a="1"/>
  <c r="CK30" i="3" s="1"/>
  <c r="CN30" i="3"/>
  <c r="CN14" i="3"/>
  <c r="CK14" i="3" a="1"/>
  <c r="CK14" i="3" s="1"/>
  <c r="CN40" i="3"/>
  <c r="CK40" i="3" a="1"/>
  <c r="CK40" i="3" s="1"/>
  <c r="CN50" i="3"/>
  <c r="CK50" i="3" a="1"/>
  <c r="CK50" i="3" s="1"/>
  <c r="CN45" i="3"/>
  <c r="CK45" i="3" a="1"/>
  <c r="CK45" i="3" s="1"/>
  <c r="CN29" i="3"/>
  <c r="CK29" i="3" a="1"/>
  <c r="CK29" i="3" s="1"/>
  <c r="CK13" i="3" a="1"/>
  <c r="CK13" i="3" s="1"/>
  <c r="CN13" i="3"/>
  <c r="CK4" i="3" a="1"/>
  <c r="CK4" i="3" s="1"/>
  <c r="CN4" i="3"/>
  <c r="CN24" i="3"/>
  <c r="CK24" i="3" a="1"/>
  <c r="CK24" i="3" s="1"/>
  <c r="CK23" i="3" a="1"/>
  <c r="CK23" i="3" s="1"/>
  <c r="CN23" i="3"/>
  <c r="CK44" i="3" a="1"/>
  <c r="CK44" i="3" s="1"/>
  <c r="CN44" i="3"/>
  <c r="CK5" i="3" a="1"/>
  <c r="CK5" i="3" s="1"/>
  <c r="CN5" i="3"/>
  <c r="CN28" i="3"/>
  <c r="CK28" i="3" a="1"/>
  <c r="CK28" i="3" s="1"/>
  <c r="CK12" i="3" a="1"/>
  <c r="CK12" i="3" s="1"/>
  <c r="CN12" i="3"/>
  <c r="CN43" i="3"/>
  <c r="CK43" i="3" a="1"/>
  <c r="CK43" i="3" s="1"/>
  <c r="CK27" i="3" a="1"/>
  <c r="CK27" i="3" s="1"/>
  <c r="CN27" i="3"/>
  <c r="CN11" i="3"/>
  <c r="CK11" i="3" a="1"/>
  <c r="CK11" i="3" s="1"/>
  <c r="CK6" i="3" a="1"/>
  <c r="CK6" i="3" s="1"/>
  <c r="CN6" i="3"/>
  <c r="CK22" i="3" a="1"/>
  <c r="CK22" i="3" s="1"/>
  <c r="CN22" i="3"/>
  <c r="CK26" i="3" a="1"/>
  <c r="CK26" i="3" s="1"/>
  <c r="CN26" i="3"/>
  <c r="CK7" i="3" a="1"/>
  <c r="CK7" i="3" s="1"/>
  <c r="CN7" i="3"/>
  <c r="CP43" i="3"/>
  <c r="AW43" i="3" a="1"/>
  <c r="AW43" i="3" s="1"/>
  <c r="CP42" i="3"/>
  <c r="AW42" i="3" a="1"/>
  <c r="AW42" i="3" s="1"/>
  <c r="CP26" i="3"/>
  <c r="AW26" i="3" a="1"/>
  <c r="AW26" i="3" s="1"/>
  <c r="CP40" i="3"/>
  <c r="AW40" i="3" a="1"/>
  <c r="AW40" i="3" s="1"/>
  <c r="CP24" i="3"/>
  <c r="AW24" i="3" a="1"/>
  <c r="AW24" i="3" s="1"/>
  <c r="CP8" i="3"/>
  <c r="CU8" i="3" s="1"/>
  <c r="AW8" i="3" a="1"/>
  <c r="AW8" i="3" s="1"/>
  <c r="CP22" i="3"/>
  <c r="AW22" i="3" a="1"/>
  <c r="AW22" i="3" s="1"/>
  <c r="CP38" i="3"/>
  <c r="AW38" i="3" a="1"/>
  <c r="AW38" i="3" s="1"/>
  <c r="CP37" i="3"/>
  <c r="AW37" i="3" a="1"/>
  <c r="AW37" i="3" s="1"/>
  <c r="CP21" i="3"/>
  <c r="AW21" i="3" a="1"/>
  <c r="AW21" i="3" s="1"/>
  <c r="CP36" i="3"/>
  <c r="AW36" i="3" a="1"/>
  <c r="AW36" i="3" s="1"/>
  <c r="CP20" i="3"/>
  <c r="AW20" i="3" a="1"/>
  <c r="AW20" i="3" s="1"/>
  <c r="CX51" i="3"/>
  <c r="AW51" i="3" a="1"/>
  <c r="AW51" i="3" s="1"/>
  <c r="CX35" i="3"/>
  <c r="AW35" i="3" a="1"/>
  <c r="AW35" i="3" s="1"/>
  <c r="CP19" i="3"/>
  <c r="AW19" i="3" a="1"/>
  <c r="AW19" i="3" s="1"/>
  <c r="CX18" i="3"/>
  <c r="AW18" i="3" a="1"/>
  <c r="AW18" i="3" s="1"/>
  <c r="CX34" i="3"/>
  <c r="AW34" i="3" a="1"/>
  <c r="AW34" i="3" s="1"/>
  <c r="CX17" i="3"/>
  <c r="AW17" i="3" a="1"/>
  <c r="AW17" i="3" s="1"/>
  <c r="CX48" i="3"/>
  <c r="AW48" i="3" a="1"/>
  <c r="AW48" i="3" s="1"/>
  <c r="CX32" i="3"/>
  <c r="AW32" i="3" a="1"/>
  <c r="AW32" i="3" s="1"/>
  <c r="CX16" i="3"/>
  <c r="AW16" i="3" a="1"/>
  <c r="AW16" i="3" s="1"/>
  <c r="CX39" i="3"/>
  <c r="AW39" i="3" a="1"/>
  <c r="AW39" i="3" s="1"/>
  <c r="CX33" i="3"/>
  <c r="AW33" i="3" a="1"/>
  <c r="AW33" i="3" s="1"/>
  <c r="CX47" i="3"/>
  <c r="AW47" i="3" a="1"/>
  <c r="AW47" i="3" s="1"/>
  <c r="CX31" i="3"/>
  <c r="AW31" i="3" a="1"/>
  <c r="AW31" i="3" s="1"/>
  <c r="CX15" i="3"/>
  <c r="AW15" i="3" a="1"/>
  <c r="AW15" i="3" s="1"/>
  <c r="CX46" i="3"/>
  <c r="AW46" i="3" a="1"/>
  <c r="AW46" i="3" s="1"/>
  <c r="CX30" i="3"/>
  <c r="AW30" i="3" a="1"/>
  <c r="AW30" i="3" s="1"/>
  <c r="CX14" i="3"/>
  <c r="AW14" i="3" a="1"/>
  <c r="AW14" i="3" s="1"/>
  <c r="CX23" i="3"/>
  <c r="AW23" i="3" a="1"/>
  <c r="AW23" i="3" s="1"/>
  <c r="CX50" i="3"/>
  <c r="AW50" i="3" a="1"/>
  <c r="AW50" i="3" s="1"/>
  <c r="CX49" i="3"/>
  <c r="AW49" i="3" a="1"/>
  <c r="AW49" i="3" s="1"/>
  <c r="CP45" i="3"/>
  <c r="AW45" i="3" a="1"/>
  <c r="AW45" i="3" s="1"/>
  <c r="CX29" i="3"/>
  <c r="AW29" i="3" a="1"/>
  <c r="AW29" i="3" s="1"/>
  <c r="CP13" i="3"/>
  <c r="AW13" i="3" a="1"/>
  <c r="AW13" i="3" s="1"/>
  <c r="CA4" i="3"/>
  <c r="AW4" i="3" a="1"/>
  <c r="AW4" i="3" s="1"/>
  <c r="BC4" i="3" a="1"/>
  <c r="BC4" i="3" s="1"/>
  <c r="CP44" i="3"/>
  <c r="AW44" i="3" a="1"/>
  <c r="AW44" i="3" s="1"/>
  <c r="CP5" i="3"/>
  <c r="CX5" i="3" s="1"/>
  <c r="AW5" i="3" a="1"/>
  <c r="AW5" i="3" s="1"/>
  <c r="CP12" i="3"/>
  <c r="AW12" i="3" a="1"/>
  <c r="AW12" i="3" s="1"/>
  <c r="CE6" i="3"/>
  <c r="AW6" i="3" a="1"/>
  <c r="AW6" i="3" s="1"/>
  <c r="CP28" i="3"/>
  <c r="AW28" i="3" a="1"/>
  <c r="AW28" i="3" s="1"/>
  <c r="CP7" i="3"/>
  <c r="CX7" i="3" s="1"/>
  <c r="AW7" i="3" a="1"/>
  <c r="AW7" i="3" s="1"/>
  <c r="CP27" i="3"/>
  <c r="AW27" i="3" a="1"/>
  <c r="AW27" i="3" s="1"/>
  <c r="CP11" i="3"/>
  <c r="AW11" i="3" a="1"/>
  <c r="AW11" i="3" s="1"/>
  <c r="CP10" i="3"/>
  <c r="CU10" i="3" s="1"/>
  <c r="AW10" i="3" a="1"/>
  <c r="AW10" i="3" s="1"/>
  <c r="CX41" i="3"/>
  <c r="AW41" i="3" a="1"/>
  <c r="AW41" i="3" s="1"/>
  <c r="CX25" i="3"/>
  <c r="AW25" i="3" a="1"/>
  <c r="AW25" i="3" s="1"/>
  <c r="AW9" i="3" a="1"/>
  <c r="AW9" i="3" s="1"/>
  <c r="AU6" i="3"/>
  <c r="CX36" i="3"/>
  <c r="CX20" i="3"/>
  <c r="CR7" i="3"/>
  <c r="CR21" i="3"/>
  <c r="CR23" i="3"/>
  <c r="CR37" i="3"/>
  <c r="CR39" i="3"/>
  <c r="CU7" i="3"/>
  <c r="CU20" i="3"/>
  <c r="CU36" i="3"/>
  <c r="Q8" i="14" a="1"/>
  <c r="Q8" i="14" s="1"/>
  <c r="BM10" i="3" s="1"/>
  <c r="Q2" i="14" a="1"/>
  <c r="Q2" i="14" s="1"/>
  <c r="BM4" i="3" s="1"/>
  <c r="Q3" i="14" a="1"/>
  <c r="Q3" i="14" s="1"/>
  <c r="BM5" i="3" s="1"/>
  <c r="Q4" i="14" a="1"/>
  <c r="Q4" i="14" s="1"/>
  <c r="BM6" i="3" s="1"/>
  <c r="Q5" i="14" a="1"/>
  <c r="Q5" i="14" s="1"/>
  <c r="BM7" i="3" s="1"/>
  <c r="Q6" i="14" a="1"/>
  <c r="Q6" i="14" s="1"/>
  <c r="BM8" i="3" s="1"/>
  <c r="CX38" i="3"/>
  <c r="CX37" i="3"/>
  <c r="CX22" i="3"/>
  <c r="CR24" i="3"/>
  <c r="CR40" i="3"/>
  <c r="CU23" i="3"/>
  <c r="CU39" i="3"/>
  <c r="CU21" i="3"/>
  <c r="CU22" i="3"/>
  <c r="CR25" i="3"/>
  <c r="CR41" i="3"/>
  <c r="CU24" i="3"/>
  <c r="CU40" i="3"/>
  <c r="CX24" i="3"/>
  <c r="CX40" i="3"/>
  <c r="CR22" i="3"/>
  <c r="CU41" i="3"/>
  <c r="CR11" i="3"/>
  <c r="CR27" i="3"/>
  <c r="CR43" i="3"/>
  <c r="CU26" i="3"/>
  <c r="CU42" i="3"/>
  <c r="CX26" i="3"/>
  <c r="CX42" i="3"/>
  <c r="CR38" i="3"/>
  <c r="CU38" i="3"/>
  <c r="CR26" i="3"/>
  <c r="CU25" i="3"/>
  <c r="CR12" i="3"/>
  <c r="CR28" i="3"/>
  <c r="CR44" i="3"/>
  <c r="CU11" i="3"/>
  <c r="CU27" i="3"/>
  <c r="CU43" i="3"/>
  <c r="CX11" i="3"/>
  <c r="CX27" i="3"/>
  <c r="CX43" i="3"/>
  <c r="CR42" i="3"/>
  <c r="CR13" i="3"/>
  <c r="CR29" i="3"/>
  <c r="CR45" i="3"/>
  <c r="CU12" i="3"/>
  <c r="CU28" i="3"/>
  <c r="CU44" i="3"/>
  <c r="CX12" i="3"/>
  <c r="CX28" i="3"/>
  <c r="CX44" i="3"/>
  <c r="CR14" i="3"/>
  <c r="CR30" i="3"/>
  <c r="CR46" i="3"/>
  <c r="CU13" i="3"/>
  <c r="CU29" i="3"/>
  <c r="CU45" i="3"/>
  <c r="CX13" i="3"/>
  <c r="CX45" i="3"/>
  <c r="CR15" i="3"/>
  <c r="CR31" i="3"/>
  <c r="CR47" i="3"/>
  <c r="CU14" i="3"/>
  <c r="CU30" i="3"/>
  <c r="CU46" i="3"/>
  <c r="CR16" i="3"/>
  <c r="CR32" i="3"/>
  <c r="CR48" i="3"/>
  <c r="CU15" i="3"/>
  <c r="CU31" i="3"/>
  <c r="CU47" i="3"/>
  <c r="CX21" i="3"/>
  <c r="CR17" i="3"/>
  <c r="CR33" i="3"/>
  <c r="CR49" i="3"/>
  <c r="CU16" i="3"/>
  <c r="CU32" i="3"/>
  <c r="CU48" i="3"/>
  <c r="CU37" i="3"/>
  <c r="CR18" i="3"/>
  <c r="CR34" i="3"/>
  <c r="CR50" i="3"/>
  <c r="CU17" i="3"/>
  <c r="CU33" i="3"/>
  <c r="CU49" i="3"/>
  <c r="CR19" i="3"/>
  <c r="CR35" i="3"/>
  <c r="CR51" i="3"/>
  <c r="CU18" i="3"/>
  <c r="CU34" i="3"/>
  <c r="CU50" i="3"/>
  <c r="CP4" i="3"/>
  <c r="CR4" i="3" s="1"/>
  <c r="CR20" i="3"/>
  <c r="CR36" i="3"/>
  <c r="CU19" i="3"/>
  <c r="CU35" i="3"/>
  <c r="CU51" i="3"/>
  <c r="CX19" i="3"/>
  <c r="CE4" i="3"/>
  <c r="CP6" i="3"/>
  <c r="CP23" i="3"/>
  <c r="CP39" i="3"/>
  <c r="CP9" i="3"/>
  <c r="CU9" i="3" s="1"/>
  <c r="CP25" i="3"/>
  <c r="CP41" i="3"/>
  <c r="CP29" i="3"/>
  <c r="CP14" i="3"/>
  <c r="CP30" i="3"/>
  <c r="CP46" i="3"/>
  <c r="CP15" i="3"/>
  <c r="CP31" i="3"/>
  <c r="CP47" i="3"/>
  <c r="CP16" i="3"/>
  <c r="CP32" i="3"/>
  <c r="CP48" i="3"/>
  <c r="CP17" i="3"/>
  <c r="CP33" i="3"/>
  <c r="CP49" i="3"/>
  <c r="CP18" i="3"/>
  <c r="CP34" i="3"/>
  <c r="CP50" i="3"/>
  <c r="CP35" i="3"/>
  <c r="CP51" i="3"/>
  <c r="BJ36" i="3"/>
  <c r="BK36" i="3" a="1"/>
  <c r="BK36" i="3" s="1"/>
  <c r="BO36" i="3"/>
  <c r="CE36" i="3"/>
  <c r="BO28" i="3"/>
  <c r="BK28" i="3" a="1"/>
  <c r="BK28" i="3" s="1"/>
  <c r="CE28" i="3"/>
  <c r="BJ28" i="3"/>
  <c r="CE10" i="3"/>
  <c r="BJ10" i="3"/>
  <c r="BJ39" i="3"/>
  <c r="CE39" i="3"/>
  <c r="BK39" i="3" a="1"/>
  <c r="BK39" i="3" s="1"/>
  <c r="BO39" i="3"/>
  <c r="BJ23" i="3"/>
  <c r="CE23" i="3"/>
  <c r="BK23" i="3" a="1"/>
  <c r="BK23" i="3" s="1"/>
  <c r="BO23" i="3"/>
  <c r="BJ38" i="3"/>
  <c r="BK38" i="3" a="1"/>
  <c r="BK38" i="3" s="1"/>
  <c r="CE38" i="3"/>
  <c r="BO38" i="3"/>
  <c r="BJ22" i="3"/>
  <c r="BK22" i="3" a="1"/>
  <c r="BK22" i="3" s="1"/>
  <c r="BO22" i="3"/>
  <c r="CE22" i="3"/>
  <c r="CE34" i="3"/>
  <c r="BJ34" i="3"/>
  <c r="BK34" i="3" a="1"/>
  <c r="BK34" i="3" s="1"/>
  <c r="BO34" i="3"/>
  <c r="CE18" i="3"/>
  <c r="BO18" i="3"/>
  <c r="BJ18" i="3"/>
  <c r="BK18" i="3" a="1"/>
  <c r="BK18" i="3" s="1"/>
  <c r="CE33" i="3"/>
  <c r="BO33" i="3"/>
  <c r="BJ33" i="3"/>
  <c r="BK33" i="3" a="1"/>
  <c r="BK33" i="3" s="1"/>
  <c r="CE17" i="3"/>
  <c r="BJ17" i="3"/>
  <c r="BK17" i="3" a="1"/>
  <c r="BK17" i="3" s="1"/>
  <c r="BO17" i="3"/>
  <c r="CE51" i="3"/>
  <c r="BJ51" i="3"/>
  <c r="BK51" i="3" a="1"/>
  <c r="BK51" i="3" s="1"/>
  <c r="BO51" i="3"/>
  <c r="CE48" i="3"/>
  <c r="BO48" i="3"/>
  <c r="BJ48" i="3"/>
  <c r="BK48" i="3" a="1"/>
  <c r="BK48" i="3" s="1"/>
  <c r="CE32" i="3"/>
  <c r="BK32" i="3" a="1"/>
  <c r="BK32" i="3" s="1"/>
  <c r="BJ32" i="3"/>
  <c r="BO32" i="3"/>
  <c r="BK16" i="3" a="1"/>
  <c r="BK16" i="3" s="1"/>
  <c r="CE16" i="3"/>
  <c r="BJ16" i="3"/>
  <c r="BO16" i="3"/>
  <c r="CE35" i="3"/>
  <c r="BO35" i="3"/>
  <c r="BJ35" i="3"/>
  <c r="BK35" i="3" a="1"/>
  <c r="BK35" i="3" s="1"/>
  <c r="BO47" i="3"/>
  <c r="CE47" i="3"/>
  <c r="BJ47" i="3"/>
  <c r="BK47" i="3" a="1"/>
  <c r="BK47" i="3" s="1"/>
  <c r="BO31" i="3"/>
  <c r="BK31" i="3" a="1"/>
  <c r="BK31" i="3" s="1"/>
  <c r="CE31" i="3"/>
  <c r="BJ31" i="3"/>
  <c r="BO15" i="3"/>
  <c r="BK15" i="3" a="1"/>
  <c r="BK15" i="3" s="1"/>
  <c r="CE15" i="3"/>
  <c r="BJ15" i="3"/>
  <c r="CE19" i="3"/>
  <c r="BJ19" i="3"/>
  <c r="BK19" i="3" a="1"/>
  <c r="BK19" i="3" s="1"/>
  <c r="BO19" i="3"/>
  <c r="BO46" i="3"/>
  <c r="BK46" i="3" a="1"/>
  <c r="BK46" i="3" s="1"/>
  <c r="CE46" i="3"/>
  <c r="BJ46" i="3"/>
  <c r="BO30" i="3"/>
  <c r="BK30" i="3" a="1"/>
  <c r="BK30" i="3" s="1"/>
  <c r="CE30" i="3"/>
  <c r="BJ30" i="3"/>
  <c r="BO14" i="3"/>
  <c r="CE14" i="3"/>
  <c r="BJ14" i="3"/>
  <c r="BK14" i="3" a="1"/>
  <c r="BK14" i="3" s="1"/>
  <c r="CE50" i="3"/>
  <c r="BJ50" i="3"/>
  <c r="BO50" i="3"/>
  <c r="BK50" i="3" a="1"/>
  <c r="BK50" i="3" s="1"/>
  <c r="CE49" i="3"/>
  <c r="BJ49" i="3"/>
  <c r="BO49" i="3"/>
  <c r="BK49" i="3" a="1"/>
  <c r="BK49" i="3" s="1"/>
  <c r="BO45" i="3"/>
  <c r="CE45" i="3"/>
  <c r="BJ45" i="3"/>
  <c r="BK45" i="3" a="1"/>
  <c r="BK45" i="3" s="1"/>
  <c r="BO29" i="3"/>
  <c r="CE29" i="3"/>
  <c r="BJ29" i="3"/>
  <c r="BK29" i="3" a="1"/>
  <c r="BK29" i="3" s="1"/>
  <c r="BK13" i="3" a="1"/>
  <c r="BK13" i="3" s="1"/>
  <c r="BO13" i="3"/>
  <c r="CE13" i="3"/>
  <c r="BJ13" i="3"/>
  <c r="BJ44" i="3"/>
  <c r="BO44" i="3"/>
  <c r="CE44" i="3"/>
  <c r="BK44" i="3" a="1"/>
  <c r="BK44" i="3" s="1"/>
  <c r="BK43" i="3" a="1"/>
  <c r="BK43" i="3" s="1"/>
  <c r="BJ43" i="3"/>
  <c r="BO43" i="3"/>
  <c r="CE43" i="3"/>
  <c r="BK27" i="3" a="1"/>
  <c r="BK27" i="3" s="1"/>
  <c r="BO27" i="3"/>
  <c r="CE27" i="3"/>
  <c r="BJ27" i="3"/>
  <c r="BK11" i="3" a="1"/>
  <c r="BK11" i="3" s="1"/>
  <c r="BO11" i="3"/>
  <c r="CE11" i="3"/>
  <c r="BJ11" i="3"/>
  <c r="CE5" i="3"/>
  <c r="BJ21" i="3"/>
  <c r="BK21" i="3" a="1"/>
  <c r="BK21" i="3" s="1"/>
  <c r="BO21" i="3"/>
  <c r="CE21" i="3"/>
  <c r="BJ20" i="3"/>
  <c r="BO20" i="3"/>
  <c r="CE20" i="3"/>
  <c r="BK20" i="3" a="1"/>
  <c r="BK20" i="3" s="1"/>
  <c r="BJ26" i="3"/>
  <c r="BK26" i="3" a="1"/>
  <c r="BK26" i="3" s="1"/>
  <c r="BO26" i="3"/>
  <c r="CE26" i="3"/>
  <c r="BK41" i="3" a="1"/>
  <c r="BK41" i="3" s="1"/>
  <c r="BO41" i="3"/>
  <c r="CE41" i="3"/>
  <c r="BJ41" i="3"/>
  <c r="BK25" i="3" a="1"/>
  <c r="BK25" i="3" s="1"/>
  <c r="BO25" i="3"/>
  <c r="CE25" i="3"/>
  <c r="BJ25" i="3"/>
  <c r="BJ9" i="3"/>
  <c r="CE9" i="3"/>
  <c r="CE7" i="3"/>
  <c r="BJ37" i="3"/>
  <c r="CE37" i="3"/>
  <c r="BK37" i="3" a="1"/>
  <c r="BK37" i="3" s="1"/>
  <c r="BO37" i="3"/>
  <c r="BJ12" i="3"/>
  <c r="BO12" i="3"/>
  <c r="CE12" i="3"/>
  <c r="BK12" i="3" a="1"/>
  <c r="BK12" i="3" s="1"/>
  <c r="BK42" i="3" a="1"/>
  <c r="BK42" i="3" s="1"/>
  <c r="BO42" i="3"/>
  <c r="CE42" i="3"/>
  <c r="BJ42" i="3"/>
  <c r="BJ40" i="3"/>
  <c r="BK40" i="3" a="1"/>
  <c r="BK40" i="3" s="1"/>
  <c r="BO40" i="3"/>
  <c r="CE40" i="3"/>
  <c r="BK24" i="3" a="1"/>
  <c r="BK24" i="3" s="1"/>
  <c r="CE24" i="3"/>
  <c r="BJ24" i="3"/>
  <c r="BO24" i="3"/>
  <c r="CE8" i="3"/>
  <c r="BJ8" i="3"/>
  <c r="BS47" i="3"/>
  <c r="CA47" i="3"/>
  <c r="BU47" i="3"/>
  <c r="BS31" i="3"/>
  <c r="CA31" i="3"/>
  <c r="BU31" i="3"/>
  <c r="BS15" i="3"/>
  <c r="CA15" i="3"/>
  <c r="BU15" i="3"/>
  <c r="BU49" i="3"/>
  <c r="CA49" i="3"/>
  <c r="BS49" i="3"/>
  <c r="BS48" i="3"/>
  <c r="CA48" i="3"/>
  <c r="BU48" i="3"/>
  <c r="BS45" i="3"/>
  <c r="CA45" i="3"/>
  <c r="BU45" i="3"/>
  <c r="BU29" i="3"/>
  <c r="BS29" i="3"/>
  <c r="CA29" i="3"/>
  <c r="CA13" i="3"/>
  <c r="BS13" i="3"/>
  <c r="BU13" i="3"/>
  <c r="BS17" i="3"/>
  <c r="CA17" i="3"/>
  <c r="BU17" i="3"/>
  <c r="CA32" i="3"/>
  <c r="BS32" i="3"/>
  <c r="BU32" i="3"/>
  <c r="BS28" i="3"/>
  <c r="BU28" i="3"/>
  <c r="CA28" i="3"/>
  <c r="BU4" i="3"/>
  <c r="CA43" i="3"/>
  <c r="BU43" i="3"/>
  <c r="BS43" i="3"/>
  <c r="CA27" i="3"/>
  <c r="BU27" i="3"/>
  <c r="BS27" i="3"/>
  <c r="CA11" i="3"/>
  <c r="BU11" i="3"/>
  <c r="BS11" i="3"/>
  <c r="BU5" i="3"/>
  <c r="CA5" i="3"/>
  <c r="BS46" i="3"/>
  <c r="CA46" i="3"/>
  <c r="BU46" i="3"/>
  <c r="CA42" i="3"/>
  <c r="BU42" i="3"/>
  <c r="BS42" i="3"/>
  <c r="CA6" i="3"/>
  <c r="BU6" i="3"/>
  <c r="CA41" i="3"/>
  <c r="BU41" i="3"/>
  <c r="BS41" i="3"/>
  <c r="CA25" i="3"/>
  <c r="BU25" i="3"/>
  <c r="BS25" i="3"/>
  <c r="CA9" i="3"/>
  <c r="BU9" i="3"/>
  <c r="CA7" i="3"/>
  <c r="BU7" i="3"/>
  <c r="CA33" i="3"/>
  <c r="BU33" i="3"/>
  <c r="BS33" i="3"/>
  <c r="BU16" i="3"/>
  <c r="BS16" i="3"/>
  <c r="CA16" i="3"/>
  <c r="BS14" i="3"/>
  <c r="BU14" i="3"/>
  <c r="CA14" i="3"/>
  <c r="BU40" i="3"/>
  <c r="CA40" i="3"/>
  <c r="BS40" i="3"/>
  <c r="CA24" i="3"/>
  <c r="BU24" i="3"/>
  <c r="BS24" i="3"/>
  <c r="BU8" i="3"/>
  <c r="CA8" i="3"/>
  <c r="CA39" i="3"/>
  <c r="BU39" i="3"/>
  <c r="BS39" i="3"/>
  <c r="CA23" i="3"/>
  <c r="BU23" i="3"/>
  <c r="BS23" i="3"/>
  <c r="BS30" i="3"/>
  <c r="BU30" i="3"/>
  <c r="CA30" i="3"/>
  <c r="BS37" i="3"/>
  <c r="BU37" i="3"/>
  <c r="CA37" i="3"/>
  <c r="BU21" i="3"/>
  <c r="CA21" i="3"/>
  <c r="BS21" i="3"/>
  <c r="CA22" i="3"/>
  <c r="BU22" i="3"/>
  <c r="BS22" i="3"/>
  <c r="CA20" i="3"/>
  <c r="BU20" i="3"/>
  <c r="BS20" i="3"/>
  <c r="BS44" i="3"/>
  <c r="BU44" i="3"/>
  <c r="CA44" i="3"/>
  <c r="CA26" i="3"/>
  <c r="BU26" i="3"/>
  <c r="BS26" i="3"/>
  <c r="CA38" i="3"/>
  <c r="BU38" i="3"/>
  <c r="BS38" i="3"/>
  <c r="BU36" i="3"/>
  <c r="BS36" i="3"/>
  <c r="CA36" i="3"/>
  <c r="BS51" i="3"/>
  <c r="CA51" i="3"/>
  <c r="BU51" i="3"/>
  <c r="BS35" i="3"/>
  <c r="CA35" i="3"/>
  <c r="BU35" i="3"/>
  <c r="BS19" i="3"/>
  <c r="CA19" i="3"/>
  <c r="BU19" i="3"/>
  <c r="BS12" i="3"/>
  <c r="CA12" i="3"/>
  <c r="BU12" i="3"/>
  <c r="CA10" i="3"/>
  <c r="BU10" i="3"/>
  <c r="BU50" i="3"/>
  <c r="CA50" i="3"/>
  <c r="BS50" i="3"/>
  <c r="BS34" i="3"/>
  <c r="BU34" i="3"/>
  <c r="CA34" i="3"/>
  <c r="BS18" i="3"/>
  <c r="BU18" i="3"/>
  <c r="CA18" i="3"/>
  <c r="G51" i="3"/>
  <c r="BQ51" i="3"/>
  <c r="G35" i="3"/>
  <c r="BQ35" i="3"/>
  <c r="G19" i="3"/>
  <c r="BQ19" i="3"/>
  <c r="G30" i="3"/>
  <c r="BQ30" i="3"/>
  <c r="X37" i="3"/>
  <c r="BQ37" i="3"/>
  <c r="G20" i="3"/>
  <c r="BQ20" i="3"/>
  <c r="G50" i="3"/>
  <c r="BQ50" i="3"/>
  <c r="G32" i="3"/>
  <c r="BQ32" i="3"/>
  <c r="G46" i="3"/>
  <c r="BQ46" i="3"/>
  <c r="G14" i="3"/>
  <c r="BQ14" i="3"/>
  <c r="G45" i="3"/>
  <c r="BQ45" i="3"/>
  <c r="G29" i="3"/>
  <c r="BQ29" i="3"/>
  <c r="G13" i="3"/>
  <c r="BQ13" i="3"/>
  <c r="X21" i="3"/>
  <c r="BQ21" i="3"/>
  <c r="G36" i="3"/>
  <c r="BQ36" i="3"/>
  <c r="G31" i="3"/>
  <c r="BQ31" i="3"/>
  <c r="G28" i="3"/>
  <c r="BQ28" i="3"/>
  <c r="G34" i="3"/>
  <c r="BQ34" i="3"/>
  <c r="G17" i="3"/>
  <c r="BQ17" i="3"/>
  <c r="G48" i="3"/>
  <c r="BQ48" i="3"/>
  <c r="G12" i="3"/>
  <c r="BQ12" i="3"/>
  <c r="G43" i="3"/>
  <c r="BQ43" i="3"/>
  <c r="G27" i="3"/>
  <c r="BQ27" i="3"/>
  <c r="G11" i="3"/>
  <c r="BQ11" i="3"/>
  <c r="AF4" i="3"/>
  <c r="G49" i="3"/>
  <c r="BQ49" i="3"/>
  <c r="G15" i="3"/>
  <c r="BQ15" i="3"/>
  <c r="G44" i="3"/>
  <c r="BQ44" i="3"/>
  <c r="G42" i="3"/>
  <c r="BQ42" i="3"/>
  <c r="G26" i="3"/>
  <c r="BQ26" i="3"/>
  <c r="AQ10" i="3"/>
  <c r="AK5" i="3"/>
  <c r="AQ6" i="3"/>
  <c r="G33" i="3"/>
  <c r="BQ33" i="3"/>
  <c r="G41" i="3"/>
  <c r="BQ41" i="3"/>
  <c r="AQ9" i="3"/>
  <c r="G24" i="3"/>
  <c r="BQ24" i="3"/>
  <c r="AO8" i="3"/>
  <c r="AK7" i="3"/>
  <c r="G16" i="3"/>
  <c r="BQ16" i="3"/>
  <c r="G47" i="3"/>
  <c r="BQ47" i="3"/>
  <c r="G25" i="3"/>
  <c r="BQ25" i="3"/>
  <c r="G40" i="3"/>
  <c r="BQ40" i="3"/>
  <c r="G39" i="3"/>
  <c r="BQ39" i="3"/>
  <c r="G23" i="3"/>
  <c r="BQ23" i="3"/>
  <c r="G18" i="3"/>
  <c r="BQ18" i="3"/>
  <c r="G38" i="3"/>
  <c r="BQ38" i="3"/>
  <c r="G22" i="3"/>
  <c r="BQ22" i="3"/>
  <c r="AF5" i="3"/>
  <c r="P2" i="14" a="1"/>
  <c r="P2" i="14" s="1"/>
  <c r="BL4" i="3" s="1"/>
  <c r="P3" i="14" a="1"/>
  <c r="P3" i="14" s="1"/>
  <c r="BL5" i="3" s="1"/>
  <c r="BQ5" i="3" s="1"/>
  <c r="P4" i="14" a="1"/>
  <c r="P4" i="14" s="1"/>
  <c r="BL6" i="3" s="1"/>
  <c r="BS6" i="3" s="1"/>
  <c r="P5" i="14" a="1"/>
  <c r="P5" i="14" s="1"/>
  <c r="BL7" i="3" s="1"/>
  <c r="P6" i="14" a="1"/>
  <c r="P6" i="14" s="1"/>
  <c r="BL8" i="3" s="1"/>
  <c r="BQ8" i="3" s="1"/>
  <c r="P7" i="14" a="1"/>
  <c r="P7" i="14" s="1"/>
  <c r="BL9" i="3" s="1"/>
  <c r="BS9" i="3" s="1"/>
  <c r="P8" i="14" a="1"/>
  <c r="P8" i="14" s="1"/>
  <c r="BL10" i="3" s="1"/>
  <c r="BQ10" i="3" s="1"/>
  <c r="AW5" i="23" a="1"/>
  <c r="AW5" i="23" s="1"/>
  <c r="AU7" i="3"/>
  <c r="BH37" i="3"/>
  <c r="BH21" i="3"/>
  <c r="AQ7" i="3"/>
  <c r="BH5" i="3"/>
  <c r="BH6" i="3"/>
  <c r="BH7" i="3"/>
  <c r="BH22" i="3"/>
  <c r="BH4" i="3"/>
  <c r="BH20" i="3"/>
  <c r="BH36" i="3"/>
  <c r="BH8" i="3"/>
  <c r="BH24" i="3"/>
  <c r="BH40" i="3"/>
  <c r="BH23" i="3"/>
  <c r="BH9" i="3"/>
  <c r="BH25" i="3"/>
  <c r="BH41" i="3"/>
  <c r="BH39" i="3"/>
  <c r="BH10" i="3"/>
  <c r="BH26" i="3"/>
  <c r="BH42" i="3"/>
  <c r="BH11" i="3"/>
  <c r="BH27" i="3"/>
  <c r="BH43" i="3"/>
  <c r="BH12" i="3"/>
  <c r="BH28" i="3"/>
  <c r="BH44" i="3"/>
  <c r="BH13" i="3"/>
  <c r="BH29" i="3"/>
  <c r="BH45" i="3"/>
  <c r="BH14" i="3"/>
  <c r="BH30" i="3"/>
  <c r="BH46" i="3"/>
  <c r="BH15" i="3"/>
  <c r="BH31" i="3"/>
  <c r="BH47" i="3"/>
  <c r="BC16" i="3" a="1"/>
  <c r="BC16" i="3" s="1"/>
  <c r="BH16" i="3"/>
  <c r="BH32" i="3"/>
  <c r="BH48" i="3"/>
  <c r="BC29" i="3" a="1"/>
  <c r="BC29" i="3" s="1"/>
  <c r="BH17" i="3"/>
  <c r="BH33" i="3"/>
  <c r="BH49" i="3"/>
  <c r="BC47" i="3" a="1"/>
  <c r="BC47" i="3" s="1"/>
  <c r="BH18" i="3"/>
  <c r="BH34" i="3"/>
  <c r="BH50" i="3"/>
  <c r="BH38" i="3"/>
  <c r="AS4" i="3"/>
  <c r="BH19" i="3"/>
  <c r="BH35" i="3"/>
  <c r="BH51" i="3"/>
  <c r="BC15" i="3" a="1"/>
  <c r="BC15" i="3" s="1"/>
  <c r="BC30" i="3" a="1"/>
  <c r="BC30" i="3" s="1"/>
  <c r="BC31" i="3" a="1"/>
  <c r="BC31" i="3" s="1"/>
  <c r="BC32" i="3" a="1"/>
  <c r="BC32" i="3" s="1"/>
  <c r="BC46" i="3" a="1"/>
  <c r="BC46" i="3" s="1"/>
  <c r="BC48" i="3" a="1"/>
  <c r="BC48" i="3" s="1"/>
  <c r="BC7" i="3" a="1"/>
  <c r="BC7" i="3" s="1"/>
  <c r="BC13" i="3" a="1"/>
  <c r="BC13" i="3" s="1"/>
  <c r="BC14" i="3" a="1"/>
  <c r="BC14" i="3" s="1"/>
  <c r="BC11" i="3" a="1"/>
  <c r="BC11" i="3" s="1"/>
  <c r="BC27" i="3" a="1"/>
  <c r="BC27" i="3" s="1"/>
  <c r="BC43" i="3" a="1"/>
  <c r="BC43" i="3" s="1"/>
  <c r="BC12" i="3" a="1"/>
  <c r="BC12" i="3" s="1"/>
  <c r="BC28" i="3" a="1"/>
  <c r="BC28" i="3" s="1"/>
  <c r="BC44" i="3" a="1"/>
  <c r="BC44" i="3" s="1"/>
  <c r="AH6" i="3"/>
  <c r="BC45" i="3" a="1"/>
  <c r="BC45" i="3" s="1"/>
  <c r="BC18" i="3" a="1"/>
  <c r="BC18" i="3" s="1"/>
  <c r="BC34" i="3" a="1"/>
  <c r="BC34" i="3" s="1"/>
  <c r="BC50" i="3" a="1"/>
  <c r="BC50" i="3" s="1"/>
  <c r="BC19" i="3" a="1"/>
  <c r="BC19" i="3" s="1"/>
  <c r="BC35" i="3" a="1"/>
  <c r="BC35" i="3" s="1"/>
  <c r="BC51" i="3" a="1"/>
  <c r="BC51" i="3" s="1"/>
  <c r="BC17" i="3" a="1"/>
  <c r="BC17" i="3" s="1"/>
  <c r="BC33" i="3" a="1"/>
  <c r="BC33" i="3" s="1"/>
  <c r="BC49" i="3" a="1"/>
  <c r="BC49" i="3" s="1"/>
  <c r="BC20" i="3" a="1"/>
  <c r="BC20" i="3" s="1"/>
  <c r="BC36" i="3" a="1"/>
  <c r="BC36" i="3" s="1"/>
  <c r="BC5" i="3" a="1"/>
  <c r="BC5" i="3" s="1"/>
  <c r="BC21" i="3" a="1"/>
  <c r="BC21" i="3" s="1"/>
  <c r="BC37" i="3" a="1"/>
  <c r="BC37" i="3" s="1"/>
  <c r="BC6" i="3" a="1"/>
  <c r="BC6" i="3" s="1"/>
  <c r="BC22" i="3" a="1"/>
  <c r="BC22" i="3" s="1"/>
  <c r="BC38" i="3" a="1"/>
  <c r="BC38" i="3" s="1"/>
  <c r="BC23" i="3" a="1"/>
  <c r="BC23" i="3" s="1"/>
  <c r="BC8" i="3" a="1"/>
  <c r="BC8" i="3" s="1"/>
  <c r="BC24" i="3" a="1"/>
  <c r="BC24" i="3" s="1"/>
  <c r="BC40" i="3" a="1"/>
  <c r="BC40" i="3" s="1"/>
  <c r="BC39" i="3" a="1"/>
  <c r="BC39" i="3" s="1"/>
  <c r="BC9" i="3" a="1"/>
  <c r="BC9" i="3" s="1"/>
  <c r="BC25" i="3" a="1"/>
  <c r="BC25" i="3" s="1"/>
  <c r="BC41" i="3" a="1"/>
  <c r="BC41" i="3" s="1"/>
  <c r="BC10" i="3" a="1"/>
  <c r="BC10" i="3" s="1"/>
  <c r="BC26" i="3" a="1"/>
  <c r="BC26" i="3" s="1"/>
  <c r="BC42" i="3" a="1"/>
  <c r="BC42" i="3" s="1"/>
  <c r="AU5" i="3"/>
  <c r="AU21" i="3"/>
  <c r="AU37" i="3"/>
  <c r="AU20" i="3"/>
  <c r="AU36" i="3"/>
  <c r="AU22" i="3"/>
  <c r="AU38" i="3"/>
  <c r="AU23" i="3"/>
  <c r="AU39" i="3"/>
  <c r="AU8" i="3"/>
  <c r="AU24" i="3"/>
  <c r="AU40" i="3"/>
  <c r="AU9" i="3"/>
  <c r="AU25" i="3"/>
  <c r="AU41" i="3"/>
  <c r="AU10" i="3"/>
  <c r="AU26" i="3"/>
  <c r="AU42" i="3"/>
  <c r="AU11" i="3"/>
  <c r="AU27" i="3"/>
  <c r="AU43" i="3"/>
  <c r="AU12" i="3"/>
  <c r="AU28" i="3"/>
  <c r="AU44" i="3"/>
  <c r="AU13" i="3"/>
  <c r="AU29" i="3"/>
  <c r="AU45" i="3"/>
  <c r="AU14" i="3"/>
  <c r="AU30" i="3"/>
  <c r="AU46" i="3"/>
  <c r="AU15" i="3"/>
  <c r="AU31" i="3"/>
  <c r="AU47" i="3"/>
  <c r="AU16" i="3"/>
  <c r="AU32" i="3"/>
  <c r="AU48" i="3"/>
  <c r="AU17" i="3"/>
  <c r="AU33" i="3"/>
  <c r="AU49" i="3"/>
  <c r="AU18" i="3"/>
  <c r="AU34" i="3"/>
  <c r="AU50" i="3"/>
  <c r="AU19" i="3"/>
  <c r="AU35" i="3"/>
  <c r="AU51" i="3"/>
  <c r="AH5" i="3"/>
  <c r="AH7" i="3"/>
  <c r="AK6" i="3"/>
  <c r="AO6" i="3"/>
  <c r="AF7" i="3"/>
  <c r="AH4" i="3"/>
  <c r="AK16" i="3"/>
  <c r="AK20" i="3"/>
  <c r="AK30" i="3"/>
  <c r="AO5" i="3"/>
  <c r="AO21" i="3"/>
  <c r="AO7" i="3"/>
  <c r="AQ4" i="3"/>
  <c r="AF6" i="3"/>
  <c r="AQ5" i="3"/>
  <c r="AK14" i="3"/>
  <c r="AH14" i="3"/>
  <c r="AK32" i="3"/>
  <c r="AQ14" i="3"/>
  <c r="AH16" i="3"/>
  <c r="AK36" i="3"/>
  <c r="AQ16" i="3"/>
  <c r="AF14" i="3"/>
  <c r="AH20" i="3"/>
  <c r="AK48" i="3"/>
  <c r="AQ20" i="3"/>
  <c r="AF16" i="3"/>
  <c r="AH30" i="3"/>
  <c r="AO4" i="3"/>
  <c r="AQ32" i="3"/>
  <c r="AF20" i="3"/>
  <c r="AH32" i="3"/>
  <c r="AQ36" i="3"/>
  <c r="AF21" i="3"/>
  <c r="AH36" i="3"/>
  <c r="AQ48" i="3"/>
  <c r="AF30" i="3"/>
  <c r="AH46" i="3"/>
  <c r="AO19" i="3"/>
  <c r="AH48" i="3"/>
  <c r="AF36" i="3"/>
  <c r="AK4" i="3"/>
  <c r="AO35" i="3"/>
  <c r="AF32" i="3"/>
  <c r="AF37" i="3"/>
  <c r="AO37" i="3"/>
  <c r="AF46" i="3"/>
  <c r="AO51" i="3"/>
  <c r="AF48" i="3"/>
  <c r="AF8" i="3"/>
  <c r="AF24" i="3"/>
  <c r="AF40" i="3"/>
  <c r="AH8" i="3"/>
  <c r="AH24" i="3"/>
  <c r="AH40" i="3"/>
  <c r="AK8" i="3"/>
  <c r="AK24" i="3"/>
  <c r="AK40" i="3"/>
  <c r="AO9" i="3"/>
  <c r="AO25" i="3"/>
  <c r="AO41" i="3"/>
  <c r="AQ8" i="3"/>
  <c r="AQ24" i="3"/>
  <c r="AQ40" i="3"/>
  <c r="AF9" i="3"/>
  <c r="AF25" i="3"/>
  <c r="AF41" i="3"/>
  <c r="AH9" i="3"/>
  <c r="AH25" i="3"/>
  <c r="AH41" i="3"/>
  <c r="AK9" i="3"/>
  <c r="AK25" i="3"/>
  <c r="AK41" i="3"/>
  <c r="AO10" i="3"/>
  <c r="AO26" i="3"/>
  <c r="AO42" i="3"/>
  <c r="AQ25" i="3"/>
  <c r="AQ41" i="3"/>
  <c r="AF10" i="3"/>
  <c r="AF26" i="3"/>
  <c r="AF42" i="3"/>
  <c r="AH10" i="3"/>
  <c r="AH26" i="3"/>
  <c r="AH42" i="3"/>
  <c r="AK10" i="3"/>
  <c r="AK26" i="3"/>
  <c r="AK42" i="3"/>
  <c r="AO11" i="3"/>
  <c r="AO27" i="3"/>
  <c r="AO43" i="3"/>
  <c r="AQ26" i="3"/>
  <c r="AQ42" i="3"/>
  <c r="AF11" i="3"/>
  <c r="AF27" i="3"/>
  <c r="AF43" i="3"/>
  <c r="AH11" i="3"/>
  <c r="AH27" i="3"/>
  <c r="AH43" i="3"/>
  <c r="AK11" i="3"/>
  <c r="AK27" i="3"/>
  <c r="AK43" i="3"/>
  <c r="AO12" i="3"/>
  <c r="AO28" i="3"/>
  <c r="AO44" i="3"/>
  <c r="AQ11" i="3"/>
  <c r="AQ27" i="3"/>
  <c r="AQ43" i="3"/>
  <c r="AF12" i="3"/>
  <c r="AF28" i="3"/>
  <c r="AF44" i="3"/>
  <c r="AH12" i="3"/>
  <c r="AH28" i="3"/>
  <c r="AH44" i="3"/>
  <c r="AK12" i="3"/>
  <c r="AK28" i="3"/>
  <c r="AK44" i="3"/>
  <c r="AO13" i="3"/>
  <c r="AO29" i="3"/>
  <c r="AO45" i="3"/>
  <c r="AQ12" i="3"/>
  <c r="AQ28" i="3"/>
  <c r="AQ44" i="3"/>
  <c r="AF13" i="3"/>
  <c r="AF29" i="3"/>
  <c r="AF45" i="3"/>
  <c r="AH13" i="3"/>
  <c r="AH29" i="3"/>
  <c r="AH45" i="3"/>
  <c r="AK13" i="3"/>
  <c r="AK29" i="3"/>
  <c r="AK45" i="3"/>
  <c r="AO14" i="3"/>
  <c r="AO30" i="3"/>
  <c r="AO46" i="3"/>
  <c r="AQ13" i="3"/>
  <c r="AQ29" i="3"/>
  <c r="AQ45" i="3"/>
  <c r="AK46" i="3"/>
  <c r="AO15" i="3"/>
  <c r="AO31" i="3"/>
  <c r="AO47" i="3"/>
  <c r="AQ30" i="3"/>
  <c r="AQ46" i="3"/>
  <c r="AF15" i="3"/>
  <c r="AF31" i="3"/>
  <c r="AF47" i="3"/>
  <c r="AH15" i="3"/>
  <c r="AH31" i="3"/>
  <c r="AH47" i="3"/>
  <c r="AK15" i="3"/>
  <c r="AK31" i="3"/>
  <c r="AK47" i="3"/>
  <c r="AO16" i="3"/>
  <c r="AO32" i="3"/>
  <c r="AO48" i="3"/>
  <c r="AQ15" i="3"/>
  <c r="AQ31" i="3"/>
  <c r="AQ47" i="3"/>
  <c r="AO17" i="3"/>
  <c r="AO33" i="3"/>
  <c r="AO49" i="3"/>
  <c r="AF17" i="3"/>
  <c r="AF33" i="3"/>
  <c r="AF49" i="3"/>
  <c r="AH17" i="3"/>
  <c r="AH33" i="3"/>
  <c r="AH49" i="3"/>
  <c r="AK17" i="3"/>
  <c r="AK33" i="3"/>
  <c r="AK49" i="3"/>
  <c r="AO18" i="3"/>
  <c r="AO34" i="3"/>
  <c r="AO50" i="3"/>
  <c r="AQ17" i="3"/>
  <c r="AQ33" i="3"/>
  <c r="AQ49" i="3"/>
  <c r="AF18" i="3"/>
  <c r="AF34" i="3"/>
  <c r="AF50" i="3"/>
  <c r="AH18" i="3"/>
  <c r="AH34" i="3"/>
  <c r="AH50" i="3"/>
  <c r="AK18" i="3"/>
  <c r="AK34" i="3"/>
  <c r="AK50" i="3"/>
  <c r="AQ18" i="3"/>
  <c r="AQ34" i="3"/>
  <c r="AQ50" i="3"/>
  <c r="AF19" i="3"/>
  <c r="AF35" i="3"/>
  <c r="AF51" i="3"/>
  <c r="AH19" i="3"/>
  <c r="AH35" i="3"/>
  <c r="AH51" i="3"/>
  <c r="AK19" i="3"/>
  <c r="AK35" i="3"/>
  <c r="AK51" i="3"/>
  <c r="AO20" i="3"/>
  <c r="AO36" i="3"/>
  <c r="AQ19" i="3"/>
  <c r="AQ35" i="3"/>
  <c r="AQ51" i="3"/>
  <c r="AH21" i="3"/>
  <c r="AH37" i="3"/>
  <c r="AK21" i="3"/>
  <c r="AK37" i="3"/>
  <c r="AO22" i="3"/>
  <c r="AO38" i="3"/>
  <c r="AQ21" i="3"/>
  <c r="AQ37" i="3"/>
  <c r="AF22" i="3"/>
  <c r="AF38" i="3"/>
  <c r="AH22" i="3"/>
  <c r="AH38" i="3"/>
  <c r="AK22" i="3"/>
  <c r="AK38" i="3"/>
  <c r="AO23" i="3"/>
  <c r="AO39" i="3"/>
  <c r="AQ22" i="3"/>
  <c r="AQ38" i="3"/>
  <c r="AF23" i="3"/>
  <c r="AF39" i="3"/>
  <c r="AH23" i="3"/>
  <c r="AH39" i="3"/>
  <c r="AK23" i="3"/>
  <c r="AK39" i="3"/>
  <c r="AO24" i="3"/>
  <c r="AO40" i="3"/>
  <c r="AQ23" i="3"/>
  <c r="AQ39" i="3"/>
  <c r="AS5" i="3"/>
  <c r="AS20" i="3"/>
  <c r="AS21" i="3"/>
  <c r="AS36" i="3"/>
  <c r="AS37" i="3"/>
  <c r="AS6" i="3"/>
  <c r="AS22" i="3"/>
  <c r="AS38" i="3"/>
  <c r="AS7" i="3"/>
  <c r="AS23" i="3"/>
  <c r="AS39" i="3"/>
  <c r="AS8" i="3"/>
  <c r="AS24" i="3"/>
  <c r="AS40" i="3"/>
  <c r="AS25" i="3"/>
  <c r="AS41" i="3"/>
  <c r="AS10" i="3"/>
  <c r="AS26" i="3"/>
  <c r="AS42" i="3"/>
  <c r="AS11" i="3"/>
  <c r="AS27" i="3"/>
  <c r="AS43" i="3"/>
  <c r="AS12" i="3"/>
  <c r="AS28" i="3"/>
  <c r="AS44" i="3"/>
  <c r="AS13" i="3"/>
  <c r="AS29" i="3"/>
  <c r="AS45" i="3"/>
  <c r="AS14" i="3"/>
  <c r="AS30" i="3"/>
  <c r="AS46" i="3"/>
  <c r="AS15" i="3"/>
  <c r="AS31" i="3"/>
  <c r="AS47" i="3"/>
  <c r="AS16" i="3"/>
  <c r="AS32" i="3"/>
  <c r="AS48" i="3"/>
  <c r="AS17" i="3"/>
  <c r="AS33" i="3"/>
  <c r="AS49" i="3"/>
  <c r="AS18" i="3"/>
  <c r="AS34" i="3"/>
  <c r="AS50" i="3"/>
  <c r="AS19" i="3"/>
  <c r="AS35" i="3"/>
  <c r="AS51" i="3"/>
  <c r="X51" i="3"/>
  <c r="X50" i="3"/>
  <c r="X49" i="3"/>
  <c r="X35" i="3"/>
  <c r="X34" i="3"/>
  <c r="X33" i="3"/>
  <c r="X19" i="3"/>
  <c r="X18" i="3"/>
  <c r="X17" i="3"/>
  <c r="P3" i="24" a="1"/>
  <c r="P3" i="24" s="1"/>
  <c r="AN3" i="25" a="1"/>
  <c r="AN3" i="25" s="1"/>
  <c r="Y3" i="25" a="1"/>
  <c r="Y3" i="25" s="1"/>
  <c r="I3" i="25" a="1"/>
  <c r="I3" i="25" s="1"/>
  <c r="R3" i="24" a="1"/>
  <c r="R3" i="24" s="1"/>
  <c r="AG3" i="24" a="1"/>
  <c r="AG3" i="24" s="1"/>
  <c r="AW3" i="24" a="1"/>
  <c r="AW3" i="24" s="1"/>
  <c r="AU3" i="24" a="1"/>
  <c r="AU3" i="24" s="1"/>
  <c r="S3" i="24" a="1"/>
  <c r="S3" i="24" s="1"/>
  <c r="AH3" i="24" a="1"/>
  <c r="AH3" i="24" s="1"/>
  <c r="AX3" i="24" a="1"/>
  <c r="AX3" i="24" s="1"/>
  <c r="AL3" i="25" a="1"/>
  <c r="AL3" i="25" s="1"/>
  <c r="W3" i="25" a="1"/>
  <c r="W3" i="25" s="1"/>
  <c r="G3" i="25" a="1"/>
  <c r="G3" i="25" s="1"/>
  <c r="T3" i="24" a="1"/>
  <c r="T3" i="24" s="1"/>
  <c r="AI3" i="24" a="1"/>
  <c r="AI3" i="24" s="1"/>
  <c r="AY3" i="24" a="1"/>
  <c r="AY3" i="24" s="1"/>
  <c r="AK3" i="25" a="1"/>
  <c r="AK3" i="25" s="1"/>
  <c r="V3" i="25" a="1"/>
  <c r="V3" i="25" s="1"/>
  <c r="U3" i="24" a="1"/>
  <c r="U3" i="24" s="1"/>
  <c r="AJ3" i="24" a="1"/>
  <c r="AJ3" i="24" s="1"/>
  <c r="H3" i="25" a="1"/>
  <c r="H3" i="25" s="1"/>
  <c r="V3" i="24" a="1"/>
  <c r="V3" i="24" s="1"/>
  <c r="AK3" i="24" a="1"/>
  <c r="AK3" i="24" s="1"/>
  <c r="K3" i="25" a="1"/>
  <c r="K3" i="25" s="1"/>
  <c r="AE3" i="24" a="1"/>
  <c r="AE3" i="24" s="1"/>
  <c r="J3" i="25" a="1"/>
  <c r="J3" i="25" s="1"/>
  <c r="AF3" i="24" a="1"/>
  <c r="AF3" i="24" s="1"/>
  <c r="G3" i="24" a="1"/>
  <c r="G3" i="24" s="1"/>
  <c r="W3" i="24" a="1"/>
  <c r="W3" i="24" s="1"/>
  <c r="AL3" i="24" a="1"/>
  <c r="AL3" i="24" s="1"/>
  <c r="AV3" i="24" a="1"/>
  <c r="AV3" i="24" s="1"/>
  <c r="X3" i="25" a="1"/>
  <c r="X3" i="25" s="1"/>
  <c r="AH3" i="25" a="1"/>
  <c r="AH3" i="25" s="1"/>
  <c r="H3" i="24" a="1"/>
  <c r="H3" i="24" s="1"/>
  <c r="X3" i="24" a="1"/>
  <c r="X3" i="24" s="1"/>
  <c r="AM3" i="24" a="1"/>
  <c r="AM3" i="24" s="1"/>
  <c r="Z3" i="25" a="1"/>
  <c r="Z3" i="25" s="1"/>
  <c r="U3" i="25" a="1"/>
  <c r="U3" i="25" s="1"/>
  <c r="I3" i="24" a="1"/>
  <c r="I3" i="24" s="1"/>
  <c r="Y3" i="24" a="1"/>
  <c r="Y3" i="24" s="1"/>
  <c r="AN3" i="24" a="1"/>
  <c r="AN3" i="24" s="1"/>
  <c r="J3" i="24" a="1"/>
  <c r="J3" i="24" s="1"/>
  <c r="Z3" i="24" a="1"/>
  <c r="Z3" i="24" s="1"/>
  <c r="AO3" i="24" a="1"/>
  <c r="AO3" i="24" s="1"/>
  <c r="AP3" i="25" a="1"/>
  <c r="AP3" i="25" s="1"/>
  <c r="Q3" i="24" a="1"/>
  <c r="Q3" i="24" s="1"/>
  <c r="AM3" i="25" a="1"/>
  <c r="AM3" i="25" s="1"/>
  <c r="AJ3" i="25" a="1"/>
  <c r="AJ3" i="25" s="1"/>
  <c r="K3" i="24" a="1"/>
  <c r="K3" i="24" s="1"/>
  <c r="AA3" i="24" a="1"/>
  <c r="AA3" i="24" s="1"/>
  <c r="AP3" i="24" a="1"/>
  <c r="AP3" i="24" s="1"/>
  <c r="AI3" i="25" a="1"/>
  <c r="AI3" i="25" s="1"/>
  <c r="R3" i="25" a="1"/>
  <c r="R3" i="25" s="1"/>
  <c r="AU3" i="25" a="1"/>
  <c r="AU3" i="25" s="1"/>
  <c r="AF3" i="25" a="1"/>
  <c r="AF3" i="25" s="1"/>
  <c r="P3" i="25" a="1"/>
  <c r="P3" i="25" s="1"/>
  <c r="AE3" i="25" a="1"/>
  <c r="AE3" i="25" s="1"/>
  <c r="O3" i="25" a="1"/>
  <c r="O3" i="25" s="1"/>
  <c r="L3" i="24" a="1"/>
  <c r="L3" i="24" s="1"/>
  <c r="AB3" i="24" a="1"/>
  <c r="AB3" i="24" s="1"/>
  <c r="AQ3" i="24" a="1"/>
  <c r="AQ3" i="24" s="1"/>
  <c r="AY3" i="25" a="1"/>
  <c r="AY3" i="25" s="1"/>
  <c r="T3" i="25" a="1"/>
  <c r="T3" i="25" s="1"/>
  <c r="AV3" i="25" a="1"/>
  <c r="AV3" i="25" s="1"/>
  <c r="AS3" i="25" a="1"/>
  <c r="AS3" i="25" s="1"/>
  <c r="AD3" i="25" a="1"/>
  <c r="AD3" i="25" s="1"/>
  <c r="N3" i="25" a="1"/>
  <c r="N3" i="25" s="1"/>
  <c r="M3" i="24" a="1"/>
  <c r="M3" i="24" s="1"/>
  <c r="AR3" i="24" a="1"/>
  <c r="AR3" i="24" s="1"/>
  <c r="AO3" i="25" a="1"/>
  <c r="AO3" i="25" s="1"/>
  <c r="S3" i="25" a="1"/>
  <c r="S3" i="25" s="1"/>
  <c r="Q3" i="25" a="1"/>
  <c r="Q3" i="25" s="1"/>
  <c r="AR3" i="25" a="1"/>
  <c r="AR3" i="25" s="1"/>
  <c r="AC3" i="25" a="1"/>
  <c r="AC3" i="25" s="1"/>
  <c r="M3" i="25" a="1"/>
  <c r="M3" i="25" s="1"/>
  <c r="N3" i="24" a="1"/>
  <c r="N3" i="24" s="1"/>
  <c r="AC3" i="24" a="1"/>
  <c r="AC3" i="24" s="1"/>
  <c r="AS3" i="24" a="1"/>
  <c r="AS3" i="24" s="1"/>
  <c r="AA3" i="25" a="1"/>
  <c r="AA3" i="25" s="1"/>
  <c r="AX3" i="25" a="1"/>
  <c r="AX3" i="25" s="1"/>
  <c r="AW3" i="25" a="1"/>
  <c r="AW3" i="25" s="1"/>
  <c r="AG3" i="25" a="1"/>
  <c r="AG3" i="25" s="1"/>
  <c r="AT3" i="25" a="1"/>
  <c r="AT3" i="25" s="1"/>
  <c r="AQ3" i="25" a="1"/>
  <c r="AQ3" i="25" s="1"/>
  <c r="AB3" i="25" a="1"/>
  <c r="AB3" i="25" s="1"/>
  <c r="O3" i="24" a="1"/>
  <c r="O3" i="24" s="1"/>
  <c r="AD3" i="24" a="1"/>
  <c r="AD3" i="24" s="1"/>
  <c r="AT3" i="24" a="1"/>
  <c r="AT3" i="24" s="1"/>
  <c r="G37" i="3"/>
  <c r="G21" i="3"/>
  <c r="X36" i="3"/>
  <c r="X20" i="3"/>
  <c r="X48" i="3"/>
  <c r="X32" i="3"/>
  <c r="X16" i="3"/>
  <c r="X47" i="3"/>
  <c r="X31" i="3"/>
  <c r="X15" i="3"/>
  <c r="X46" i="3"/>
  <c r="X30" i="3"/>
  <c r="X14" i="3"/>
  <c r="X45" i="3"/>
  <c r="X29" i="3"/>
  <c r="X13" i="3"/>
  <c r="X44" i="3"/>
  <c r="X28" i="3"/>
  <c r="X12" i="3"/>
  <c r="X43" i="3"/>
  <c r="X27" i="3"/>
  <c r="X11" i="3"/>
  <c r="X42" i="3"/>
  <c r="X26" i="3"/>
  <c r="X41" i="3"/>
  <c r="X25" i="3"/>
  <c r="X40" i="3"/>
  <c r="X24" i="3"/>
  <c r="X39" i="3"/>
  <c r="X23" i="3"/>
  <c r="X38" i="3"/>
  <c r="X22" i="3"/>
  <c r="E4" i="23" a="1"/>
  <c r="E4" i="23" s="1"/>
  <c r="M4" i="23" a="1"/>
  <c r="M4" i="23" s="1"/>
  <c r="U4" i="23" a="1"/>
  <c r="U4" i="23" s="1"/>
  <c r="AC4" i="23" a="1"/>
  <c r="AC4" i="23" s="1"/>
  <c r="AK4" i="23" a="1"/>
  <c r="AK4" i="23" s="1"/>
  <c r="AS4" i="23" a="1"/>
  <c r="AS4" i="23" s="1"/>
  <c r="AB4" i="23" a="1"/>
  <c r="AB4" i="23" s="1"/>
  <c r="F4" i="23" a="1"/>
  <c r="F4" i="23" s="1"/>
  <c r="AT4" i="23" a="1"/>
  <c r="AT4" i="23" s="1"/>
  <c r="W4" i="23" a="1"/>
  <c r="W4" i="23" s="1"/>
  <c r="AE4" i="23" a="1"/>
  <c r="AE4" i="23" s="1"/>
  <c r="AM4" i="23" a="1"/>
  <c r="AM4" i="23" s="1"/>
  <c r="AU4" i="23" a="1"/>
  <c r="AU4" i="23" s="1"/>
  <c r="L4" i="23" a="1"/>
  <c r="L4" i="23" s="1"/>
  <c r="V4" i="23" a="1"/>
  <c r="V4" i="23" s="1"/>
  <c r="D4" i="23" a="1"/>
  <c r="D4" i="23" s="1"/>
  <c r="N4" i="23" a="1"/>
  <c r="N4" i="23" s="1"/>
  <c r="H4" i="23" a="1"/>
  <c r="H4" i="23" s="1"/>
  <c r="P4" i="23" a="1"/>
  <c r="P4" i="23" s="1"/>
  <c r="X4" i="23" a="1"/>
  <c r="X4" i="23" s="1"/>
  <c r="AF4" i="23" a="1"/>
  <c r="AF4" i="23" s="1"/>
  <c r="AN4" i="23" a="1"/>
  <c r="AN4" i="23" s="1"/>
  <c r="AV4" i="23" a="1"/>
  <c r="AV4" i="23" s="1"/>
  <c r="T4" i="23" a="1"/>
  <c r="T4" i="23" s="1"/>
  <c r="O4" i="23" a="1"/>
  <c r="O4" i="23" s="1"/>
  <c r="AJ4" i="23" a="1"/>
  <c r="AJ4" i="23" s="1"/>
  <c r="AL4" i="23" a="1"/>
  <c r="AL4" i="23" s="1"/>
  <c r="I4" i="23" a="1"/>
  <c r="I4" i="23" s="1"/>
  <c r="Q4" i="23" a="1"/>
  <c r="Q4" i="23" s="1"/>
  <c r="Y4" i="23" a="1"/>
  <c r="Y4" i="23" s="1"/>
  <c r="AG4" i="23" a="1"/>
  <c r="AG4" i="23" s="1"/>
  <c r="AO4" i="23" a="1"/>
  <c r="AO4" i="23" s="1"/>
  <c r="AW4" i="23" a="1"/>
  <c r="AW4" i="23" s="1"/>
  <c r="AR4" i="23" a="1"/>
  <c r="AR4" i="23" s="1"/>
  <c r="G4" i="23" a="1"/>
  <c r="G4" i="23" s="1"/>
  <c r="J4" i="23" a="1"/>
  <c r="J4" i="23" s="1"/>
  <c r="R4" i="23" a="1"/>
  <c r="R4" i="23" s="1"/>
  <c r="Z4" i="23" a="1"/>
  <c r="Z4" i="23" s="1"/>
  <c r="AH4" i="23" a="1"/>
  <c r="AH4" i="23" s="1"/>
  <c r="AP4" i="23" a="1"/>
  <c r="AP4" i="23" s="1"/>
  <c r="AX4" i="23" a="1"/>
  <c r="AX4" i="23" s="1"/>
  <c r="AD4" i="23" a="1"/>
  <c r="AD4" i="23" s="1"/>
  <c r="K4" i="23" a="1"/>
  <c r="K4" i="23" s="1"/>
  <c r="S4" i="23" a="1"/>
  <c r="S4" i="23" s="1"/>
  <c r="AA4" i="23" a="1"/>
  <c r="AA4" i="23" s="1"/>
  <c r="AI4" i="23" a="1"/>
  <c r="AI4" i="23" s="1"/>
  <c r="AQ4" i="23" a="1"/>
  <c r="AQ4" i="23" s="1"/>
  <c r="AY4" i="23" a="1"/>
  <c r="AY4" i="23" s="1"/>
  <c r="AT4" i="24" a="1"/>
  <c r="AT4" i="24" s="1"/>
  <c r="AS4" i="24" a="1"/>
  <c r="AS4" i="24" s="1"/>
  <c r="AC4" i="24" a="1"/>
  <c r="AC4" i="24" s="1"/>
  <c r="M4" i="24" a="1"/>
  <c r="M4" i="24" s="1"/>
  <c r="AR4" i="24" a="1"/>
  <c r="AR4" i="24" s="1"/>
  <c r="AB4" i="24" a="1"/>
  <c r="AB4" i="24" s="1"/>
  <c r="L4" i="24" a="1"/>
  <c r="L4" i="24" s="1"/>
  <c r="AO4" i="24" a="1"/>
  <c r="AO4" i="24" s="1"/>
  <c r="Y4" i="24" a="1"/>
  <c r="Y4" i="24" s="1"/>
  <c r="I4" i="24" a="1"/>
  <c r="I4" i="24" s="1"/>
  <c r="Z4" i="24" a="1"/>
  <c r="Z4" i="24" s="1"/>
  <c r="AN4" i="24" a="1"/>
  <c r="AN4" i="24" s="1"/>
  <c r="X4" i="24" a="1"/>
  <c r="X4" i="24" s="1"/>
  <c r="H4" i="24" a="1"/>
  <c r="H4" i="24" s="1"/>
  <c r="N4" i="24" a="1"/>
  <c r="N4" i="24" s="1"/>
  <c r="J4" i="24" a="1"/>
  <c r="J4" i="24" s="1"/>
  <c r="AM4" i="24" a="1"/>
  <c r="AM4" i="24" s="1"/>
  <c r="W4" i="24" a="1"/>
  <c r="W4" i="24" s="1"/>
  <c r="G4" i="24" a="1"/>
  <c r="G4" i="24" s="1"/>
  <c r="AA4" i="24" a="1"/>
  <c r="AA4" i="24" s="1"/>
  <c r="AP4" i="24" a="1"/>
  <c r="AP4" i="24" s="1"/>
  <c r="AL4" i="24" a="1"/>
  <c r="AL4" i="24" s="1"/>
  <c r="V4" i="24" a="1"/>
  <c r="V4" i="24" s="1"/>
  <c r="AQ4" i="24" a="1"/>
  <c r="AQ4" i="24" s="1"/>
  <c r="U4" i="24" a="1"/>
  <c r="U4" i="24" s="1"/>
  <c r="AK4" i="24" a="1"/>
  <c r="AK4" i="24" s="1"/>
  <c r="T4" i="24" a="1"/>
  <c r="T4" i="24" s="1"/>
  <c r="AY4" i="24" a="1"/>
  <c r="AY4" i="24" s="1"/>
  <c r="AI4" i="24" a="1"/>
  <c r="AI4" i="24" s="1"/>
  <c r="S4" i="24" a="1"/>
  <c r="S4" i="24" s="1"/>
  <c r="K4" i="24" a="1"/>
  <c r="K4" i="24" s="1"/>
  <c r="R4" i="24" a="1"/>
  <c r="R4" i="24" s="1"/>
  <c r="AD4" i="24" a="1"/>
  <c r="AD4" i="24" s="1"/>
  <c r="AH4" i="24" a="1"/>
  <c r="AH4" i="24" s="1"/>
  <c r="AW4" i="24" a="1"/>
  <c r="AW4" i="24" s="1"/>
  <c r="AG4" i="24" a="1"/>
  <c r="AG4" i="24" s="1"/>
  <c r="Q4" i="24" a="1"/>
  <c r="Q4" i="24" s="1"/>
  <c r="AJ4" i="24" a="1"/>
  <c r="AJ4" i="24" s="1"/>
  <c r="AV4" i="24" a="1"/>
  <c r="AV4" i="24" s="1"/>
  <c r="AF4" i="24" a="1"/>
  <c r="AF4" i="24" s="1"/>
  <c r="P4" i="24" a="1"/>
  <c r="P4" i="24" s="1"/>
  <c r="AX4" i="24" a="1"/>
  <c r="AX4" i="24" s="1"/>
  <c r="AU4" i="24" a="1"/>
  <c r="AU4" i="24" s="1"/>
  <c r="AE4" i="24" a="1"/>
  <c r="AE4" i="24" s="1"/>
  <c r="O4" i="24" a="1"/>
  <c r="O4" i="24" s="1"/>
  <c r="B47" i="24" a="1"/>
  <c r="B47" i="24" s="1"/>
  <c r="B15" i="24" a="1"/>
  <c r="B15" i="24" s="1"/>
  <c r="B17" i="23" a="1"/>
  <c r="B17" i="23" s="1"/>
  <c r="B25" i="24" a="1"/>
  <c r="B25" i="24" s="1"/>
  <c r="B16" i="24" a="1"/>
  <c r="B16" i="24" s="1"/>
  <c r="B14" i="24" a="1"/>
  <c r="B14" i="24" s="1"/>
  <c r="B18" i="23" a="1"/>
  <c r="B18" i="23" s="1"/>
  <c r="B31" i="24" a="1"/>
  <c r="B31" i="24" s="1"/>
  <c r="B9" i="24" a="1"/>
  <c r="B9" i="24" s="1"/>
  <c r="B33" i="23" a="1"/>
  <c r="B33" i="23" s="1"/>
  <c r="B32" i="24" a="1"/>
  <c r="B32" i="24" s="1"/>
  <c r="B34" i="23" a="1"/>
  <c r="B34" i="23" s="1"/>
  <c r="B49" i="23" a="1"/>
  <c r="B49" i="23" s="1"/>
  <c r="B50" i="23" a="1"/>
  <c r="B50" i="23" s="1"/>
  <c r="B41" i="24" a="1"/>
  <c r="B41" i="24" s="1"/>
  <c r="B48" i="24" a="1"/>
  <c r="B48" i="24" s="1"/>
  <c r="B46" i="24" a="1"/>
  <c r="B46" i="24" s="1"/>
  <c r="B35" i="23" a="1"/>
  <c r="B35" i="23" s="1"/>
  <c r="B45" i="24" a="1"/>
  <c r="B45" i="24" s="1"/>
  <c r="B29" i="24" a="1"/>
  <c r="B29" i="24" s="1"/>
  <c r="B13" i="24" a="1"/>
  <c r="B13" i="24" s="1"/>
  <c r="B20" i="23" a="1"/>
  <c r="B20" i="23" s="1"/>
  <c r="B36" i="23" a="1"/>
  <c r="B36" i="23" s="1"/>
  <c r="B52" i="23" a="1"/>
  <c r="B52" i="23" s="1"/>
  <c r="B30" i="24" a="1"/>
  <c r="B30" i="24" s="1"/>
  <c r="B19" i="23" a="1"/>
  <c r="B19" i="23" s="1"/>
  <c r="B51" i="23" a="1"/>
  <c r="B51" i="23" s="1"/>
  <c r="B44" i="24" a="1"/>
  <c r="B44" i="24" s="1"/>
  <c r="B28" i="24" a="1"/>
  <c r="B28" i="24" s="1"/>
  <c r="B12" i="24" a="1"/>
  <c r="B12" i="24" s="1"/>
  <c r="B21" i="23" a="1"/>
  <c r="B21" i="23" s="1"/>
  <c r="B37" i="23" a="1"/>
  <c r="B37" i="23" s="1"/>
  <c r="B53" i="23" a="1"/>
  <c r="B53" i="23" s="1"/>
  <c r="B43" i="24" a="1"/>
  <c r="B43" i="24" s="1"/>
  <c r="B27" i="24" a="1"/>
  <c r="B27" i="24" s="1"/>
  <c r="B11" i="24" a="1"/>
  <c r="B11" i="24" s="1"/>
  <c r="B22" i="23" a="1"/>
  <c r="B22" i="23" s="1"/>
  <c r="B38" i="23" a="1"/>
  <c r="B38" i="23" s="1"/>
  <c r="B54" i="23" a="1"/>
  <c r="B54" i="23" s="1"/>
  <c r="B42" i="24" a="1"/>
  <c r="B42" i="24" s="1"/>
  <c r="B26" i="24" a="1"/>
  <c r="B26" i="24" s="1"/>
  <c r="B10" i="24" a="1"/>
  <c r="B10" i="24" s="1"/>
  <c r="B23" i="23" a="1"/>
  <c r="B23" i="23" s="1"/>
  <c r="B39" i="23" a="1"/>
  <c r="B39" i="23" s="1"/>
  <c r="B40" i="24" a="1"/>
  <c r="B40" i="24" s="1"/>
  <c r="B24" i="24" a="1"/>
  <c r="B24" i="24" s="1"/>
  <c r="B8" i="24" a="1"/>
  <c r="B8" i="24" s="1"/>
  <c r="B25" i="23" a="1"/>
  <c r="B25" i="23" s="1"/>
  <c r="B41" i="23" a="1"/>
  <c r="B41" i="23" s="1"/>
  <c r="B39" i="24" a="1"/>
  <c r="B39" i="24" s="1"/>
  <c r="B23" i="24" a="1"/>
  <c r="B23" i="24" s="1"/>
  <c r="B7" i="24" a="1"/>
  <c r="B7" i="24" s="1"/>
  <c r="B26" i="23" a="1"/>
  <c r="B26" i="23" s="1"/>
  <c r="B42" i="23" a="1"/>
  <c r="B42" i="23" s="1"/>
  <c r="B27" i="23" a="1"/>
  <c r="B27" i="23" s="1"/>
  <c r="B43" i="23" a="1"/>
  <c r="B43" i="23" s="1"/>
  <c r="B53" i="24" a="1"/>
  <c r="B53" i="24" s="1"/>
  <c r="B28" i="23" a="1"/>
  <c r="B28" i="23" s="1"/>
  <c r="B44" i="23" a="1"/>
  <c r="B44" i="23" s="1"/>
  <c r="B24" i="23" a="1"/>
  <c r="B24" i="23" s="1"/>
  <c r="B22" i="24" a="1"/>
  <c r="B22" i="24" s="1"/>
  <c r="B21" i="24" a="1"/>
  <c r="B21" i="24" s="1"/>
  <c r="B52" i="24" a="1"/>
  <c r="B52" i="24" s="1"/>
  <c r="B36" i="24" a="1"/>
  <c r="B36" i="24" s="1"/>
  <c r="B20" i="24" a="1"/>
  <c r="B20" i="24" s="1"/>
  <c r="B13" i="23" a="1"/>
  <c r="B13" i="23" s="1"/>
  <c r="B29" i="23" a="1"/>
  <c r="B29" i="23" s="1"/>
  <c r="B45" i="23" a="1"/>
  <c r="B45" i="23" s="1"/>
  <c r="B40" i="23" a="1"/>
  <c r="B40" i="23" s="1"/>
  <c r="B38" i="24" a="1"/>
  <c r="B38" i="24" s="1"/>
  <c r="B6" i="24" a="1"/>
  <c r="B6" i="24" s="1"/>
  <c r="B37" i="24" a="1"/>
  <c r="B37" i="24" s="1"/>
  <c r="B51" i="24" a="1"/>
  <c r="B51" i="24" s="1"/>
  <c r="B35" i="24" a="1"/>
  <c r="B35" i="24" s="1"/>
  <c r="B19" i="24" a="1"/>
  <c r="B19" i="24" s="1"/>
  <c r="B14" i="23" a="1"/>
  <c r="B14" i="23" s="1"/>
  <c r="B30" i="23" a="1"/>
  <c r="B30" i="23" s="1"/>
  <c r="B46" i="23" a="1"/>
  <c r="B46" i="23" s="1"/>
  <c r="B50" i="24" a="1"/>
  <c r="B50" i="24" s="1"/>
  <c r="B34" i="24" a="1"/>
  <c r="B34" i="24" s="1"/>
  <c r="B18" i="24" a="1"/>
  <c r="B18" i="24" s="1"/>
  <c r="B15" i="23" a="1"/>
  <c r="B15" i="23" s="1"/>
  <c r="B31" i="23" a="1"/>
  <c r="B31" i="23" s="1"/>
  <c r="B47" i="23" a="1"/>
  <c r="B47" i="23" s="1"/>
  <c r="B49" i="24" a="1"/>
  <c r="B49" i="24" s="1"/>
  <c r="B33" i="24" a="1"/>
  <c r="B33" i="24" s="1"/>
  <c r="B16" i="23" a="1"/>
  <c r="B16" i="23" s="1"/>
  <c r="B32" i="23" a="1"/>
  <c r="B32" i="23" s="1"/>
  <c r="B48" i="23" a="1"/>
  <c r="B48" i="23" s="1"/>
  <c r="G5" i="23" a="1"/>
  <c r="G5" i="23" s="1"/>
  <c r="B52" i="25" a="1"/>
  <c r="B52" i="25" s="1"/>
  <c r="B51" i="25" a="1"/>
  <c r="B51" i="25" s="1"/>
  <c r="H5" i="23" a="1"/>
  <c r="H5" i="23" s="1"/>
  <c r="B48" i="25" a="1"/>
  <c r="B48" i="25" s="1"/>
  <c r="J5" i="23" a="1"/>
  <c r="J5" i="23" s="1"/>
  <c r="S5" i="23" a="1"/>
  <c r="S5" i="23" s="1"/>
  <c r="F5" i="23" a="1"/>
  <c r="F5" i="23" s="1"/>
  <c r="B37" i="25" a="1"/>
  <c r="B37" i="25" s="1"/>
  <c r="B36" i="25" a="1"/>
  <c r="B36" i="25" s="1"/>
  <c r="T5" i="23" a="1"/>
  <c r="T5" i="23" s="1"/>
  <c r="W5" i="23" a="1"/>
  <c r="W5" i="23" s="1"/>
  <c r="B35" i="25" a="1"/>
  <c r="B35" i="25" s="1"/>
  <c r="B32" i="25" a="1"/>
  <c r="B32" i="25" s="1"/>
  <c r="AF5" i="23" a="1"/>
  <c r="AF5" i="23" s="1"/>
  <c r="B21" i="25" a="1"/>
  <c r="B21" i="25" s="1"/>
  <c r="AJ5" i="23" a="1"/>
  <c r="AJ5" i="23" s="1"/>
  <c r="AG5" i="23" a="1"/>
  <c r="AG5" i="23" s="1"/>
  <c r="B19" i="25" a="1"/>
  <c r="B19" i="25" s="1"/>
  <c r="AS5" i="23" a="1"/>
  <c r="AS5" i="23" s="1"/>
  <c r="B20" i="25" a="1"/>
  <c r="B20" i="25" s="1"/>
  <c r="B6" i="23" a="1"/>
  <c r="B6" i="23" s="1"/>
  <c r="AU5" i="23" a="1"/>
  <c r="AU5" i="23" s="1"/>
  <c r="AH5" i="23" a="1"/>
  <c r="AH5" i="23" s="1"/>
  <c r="U5" i="23" a="1"/>
  <c r="U5" i="23" s="1"/>
  <c r="I5" i="23" a="1"/>
  <c r="I5" i="23" s="1"/>
  <c r="AT5" i="23" a="1"/>
  <c r="AT5" i="23" s="1"/>
  <c r="AR5" i="23" a="1"/>
  <c r="AR5" i="23" s="1"/>
  <c r="AE5" i="23" a="1"/>
  <c r="AE5" i="23" s="1"/>
  <c r="R5" i="23" a="1"/>
  <c r="R5" i="23" s="1"/>
  <c r="E5" i="23" a="1"/>
  <c r="E5" i="23" s="1"/>
  <c r="AQ5" i="23" a="1"/>
  <c r="AQ5" i="23" s="1"/>
  <c r="AD5" i="23" a="1"/>
  <c r="AD5" i="23" s="1"/>
  <c r="D5" i="23" a="1"/>
  <c r="D5" i="23" s="1"/>
  <c r="AP5" i="23" a="1"/>
  <c r="AP5" i="23" s="1"/>
  <c r="AC5" i="23" a="1"/>
  <c r="AC5" i="23" s="1"/>
  <c r="Q5" i="23" a="1"/>
  <c r="Q5" i="23" s="1"/>
  <c r="P5" i="23" a="1"/>
  <c r="P5" i="23" s="1"/>
  <c r="AO5" i="23" a="1"/>
  <c r="AO5" i="23" s="1"/>
  <c r="AB5" i="23" a="1"/>
  <c r="AB5" i="23" s="1"/>
  <c r="O5" i="23" a="1"/>
  <c r="O5" i="23" s="1"/>
  <c r="A4" i="25"/>
  <c r="F3" i="25" s="1" a="1"/>
  <c r="F3" i="25" s="1"/>
  <c r="B18" i="25" a="1"/>
  <c r="B18" i="25" s="1"/>
  <c r="B34" i="25" a="1"/>
  <c r="B34" i="25" s="1"/>
  <c r="B50" i="25" a="1"/>
  <c r="B50" i="25" s="1"/>
  <c r="B22" i="25" a="1"/>
  <c r="B22" i="25" s="1"/>
  <c r="B38" i="25" a="1"/>
  <c r="B38" i="25" s="1"/>
  <c r="B23" i="25" a="1"/>
  <c r="B23" i="25" s="1"/>
  <c r="B39" i="25" a="1"/>
  <c r="B39" i="25" s="1"/>
  <c r="B49" i="25" a="1"/>
  <c r="B49" i="25" s="1"/>
  <c r="B33" i="25" a="1"/>
  <c r="B33" i="25" s="1"/>
  <c r="B17" i="25" a="1"/>
  <c r="B17" i="25" s="1"/>
  <c r="V5" i="23" a="1"/>
  <c r="V5" i="23" s="1"/>
  <c r="AI5" i="23" a="1"/>
  <c r="AI5" i="23" s="1"/>
  <c r="AV5" i="23" a="1"/>
  <c r="AV5" i="23" s="1"/>
  <c r="B47" i="25" a="1"/>
  <c r="B47" i="25" s="1"/>
  <c r="B31" i="25" a="1"/>
  <c r="B31" i="25" s="1"/>
  <c r="B15" i="25" a="1"/>
  <c r="B15" i="25" s="1"/>
  <c r="K5" i="23" a="1"/>
  <c r="K5" i="23" s="1"/>
  <c r="X5" i="23" a="1"/>
  <c r="X5" i="23" s="1"/>
  <c r="B46" i="25" a="1"/>
  <c r="B46" i="25" s="1"/>
  <c r="B30" i="25" a="1"/>
  <c r="B30" i="25" s="1"/>
  <c r="B14" i="25" a="1"/>
  <c r="B14" i="25" s="1"/>
  <c r="L5" i="23" a="1"/>
  <c r="L5" i="23" s="1"/>
  <c r="Y5" i="23" a="1"/>
  <c r="Y5" i="23" s="1"/>
  <c r="AK5" i="23" a="1"/>
  <c r="AK5" i="23" s="1"/>
  <c r="AX5" i="23" a="1"/>
  <c r="AX5" i="23" s="1"/>
  <c r="B45" i="25" a="1"/>
  <c r="B45" i="25" s="1"/>
  <c r="B29" i="25" a="1"/>
  <c r="B29" i="25" s="1"/>
  <c r="B13" i="25" a="1"/>
  <c r="B13" i="25" s="1"/>
  <c r="AL5" i="23" a="1"/>
  <c r="AL5" i="23" s="1"/>
  <c r="AY5" i="23" a="1"/>
  <c r="AY5" i="23" s="1"/>
  <c r="B44" i="25" a="1"/>
  <c r="B44" i="25" s="1"/>
  <c r="B28" i="25" a="1"/>
  <c r="B28" i="25" s="1"/>
  <c r="B12" i="25" a="1"/>
  <c r="B12" i="25" s="1"/>
  <c r="M5" i="23" a="1"/>
  <c r="M5" i="23" s="1"/>
  <c r="Z5" i="23" a="1"/>
  <c r="Z5" i="23" s="1"/>
  <c r="B43" i="25" a="1"/>
  <c r="B43" i="25" s="1"/>
  <c r="B27" i="25" a="1"/>
  <c r="B27" i="25" s="1"/>
  <c r="B11" i="25" a="1"/>
  <c r="B11" i="25" s="1"/>
  <c r="N5" i="23" a="1"/>
  <c r="N5" i="23" s="1"/>
  <c r="AA5" i="23" a="1"/>
  <c r="AA5" i="23" s="1"/>
  <c r="AN5" i="23" a="1"/>
  <c r="AN5" i="23" s="1"/>
  <c r="B42" i="25" a="1"/>
  <c r="B42" i="25" s="1"/>
  <c r="B26" i="25" a="1"/>
  <c r="B26" i="25" s="1"/>
  <c r="B10" i="25" a="1"/>
  <c r="B10" i="25" s="1"/>
  <c r="B41" i="25" a="1"/>
  <c r="B41" i="25" s="1"/>
  <c r="B25" i="25" a="1"/>
  <c r="B25" i="25" s="1"/>
  <c r="B9" i="25" a="1"/>
  <c r="B9" i="25" s="1"/>
  <c r="B40" i="25" a="1"/>
  <c r="B40" i="25" s="1"/>
  <c r="B24" i="25" a="1"/>
  <c r="B24" i="25" s="1"/>
  <c r="B8" i="25" a="1"/>
  <c r="B8" i="25" s="1"/>
  <c r="C2" i="25"/>
  <c r="B6" i="25" s="1" a="1"/>
  <c r="B6" i="25" s="1"/>
  <c r="A5" i="24"/>
  <c r="B5" i="24" s="1" a="1"/>
  <c r="B5" i="24" s="1"/>
  <c r="D10" i="3" l="1" a="1"/>
  <c r="D10" i="3" s="1"/>
  <c r="D4" i="3" a="1"/>
  <c r="D4" i="3" s="1"/>
  <c r="D6" i="3" a="1"/>
  <c r="D6" i="3" s="1"/>
  <c r="D7" i="3" a="1"/>
  <c r="D7" i="3" s="1"/>
  <c r="O2" i="14" a="1"/>
  <c r="CR5" i="3"/>
  <c r="BK7" i="3" a="1"/>
  <c r="BK7" i="3" s="1"/>
  <c r="CR8" i="3"/>
  <c r="CX8" i="3"/>
  <c r="AU4" i="3"/>
  <c r="CR10" i="3"/>
  <c r="CX10" i="3"/>
  <c r="CU5" i="3"/>
  <c r="CR9" i="3"/>
  <c r="BQ9" i="3"/>
  <c r="BS7" i="3"/>
  <c r="BO5" i="3"/>
  <c r="BO8" i="3"/>
  <c r="BS5" i="3"/>
  <c r="BQ7" i="3"/>
  <c r="BK8" i="3" a="1"/>
  <c r="BK8" i="3" s="1"/>
  <c r="BK5" i="3" a="1"/>
  <c r="BK5" i="3" s="1"/>
  <c r="BQ6" i="3"/>
  <c r="BQ4" i="3"/>
  <c r="BO7" i="3"/>
  <c r="BS10" i="3"/>
  <c r="BS8" i="3"/>
  <c r="CX6" i="3"/>
  <c r="CU6" i="3"/>
  <c r="CR6" i="3"/>
  <c r="CX4" i="3"/>
  <c r="CU4" i="3"/>
  <c r="CX9" i="3"/>
  <c r="BO10" i="3"/>
  <c r="BO9" i="3"/>
  <c r="BK6" i="3" a="1"/>
  <c r="BK6" i="3" s="1"/>
  <c r="BO6" i="3"/>
  <c r="BK9" i="3" a="1"/>
  <c r="BK9" i="3" s="1"/>
  <c r="BK10" i="3" a="1"/>
  <c r="BK10" i="3" s="1"/>
  <c r="BJ4" i="3"/>
  <c r="BJ5" i="3"/>
  <c r="BJ6" i="3"/>
  <c r="BJ7" i="3"/>
  <c r="BK4" i="3" a="1"/>
  <c r="BK4" i="3" s="1"/>
  <c r="BO4" i="3"/>
  <c r="D3" i="25" a="1"/>
  <c r="D3" i="25" s="1"/>
  <c r="C4" i="23" a="1"/>
  <c r="C4" i="23" s="1"/>
  <c r="L2" i="15" s="1" a="1"/>
  <c r="E3" i="25" a="1"/>
  <c r="E3" i="25" s="1"/>
  <c r="B4" i="25" a="1"/>
  <c r="B4" i="25" s="1"/>
  <c r="B7" i="25" a="1"/>
  <c r="B7" i="25" s="1"/>
  <c r="B5" i="25" a="1"/>
  <c r="B5" i="25" s="1"/>
  <c r="E3" i="24" a="1"/>
  <c r="E3" i="24" s="1"/>
  <c r="C3" i="24" a="1"/>
  <c r="C3" i="24" s="1"/>
  <c r="D3" i="24" a="1"/>
  <c r="D3" i="24" s="1"/>
  <c r="F3" i="24" a="1"/>
  <c r="F3" i="24" s="1"/>
  <c r="B11" i="23" a="1"/>
  <c r="B11" i="23" s="1"/>
  <c r="B8" i="23" a="1"/>
  <c r="B8" i="23" s="1"/>
  <c r="B9" i="23" a="1"/>
  <c r="B9" i="23" s="1"/>
  <c r="B7" i="23" a="1"/>
  <c r="B7" i="23" s="1"/>
  <c r="B12" i="23" a="1"/>
  <c r="B12" i="23" s="1"/>
  <c r="C5" i="23" a="1"/>
  <c r="C4" i="24" a="1"/>
  <c r="C4" i="24" s="1"/>
  <c r="D4" i="24" a="1"/>
  <c r="D4" i="24" s="1"/>
  <c r="E4" i="24" a="1"/>
  <c r="E4" i="24" s="1"/>
  <c r="F4" i="24" a="1"/>
  <c r="F4" i="24" s="1"/>
  <c r="B10" i="23" a="1"/>
  <c r="B10" i="23" s="1"/>
  <c r="C3" i="25" a="1"/>
  <c r="C3" i="25" s="1"/>
  <c r="O2" i="14" l="1"/>
  <c r="G2" i="14" s="1"/>
  <c r="G11" i="14"/>
  <c r="G27" i="14"/>
  <c r="G43" i="14"/>
  <c r="G12" i="14"/>
  <c r="G28" i="14"/>
  <c r="G44" i="14"/>
  <c r="G13" i="14"/>
  <c r="G29" i="14"/>
  <c r="G45" i="14"/>
  <c r="G14" i="14"/>
  <c r="G30" i="14"/>
  <c r="G46" i="14"/>
  <c r="G9" i="14"/>
  <c r="G15" i="14"/>
  <c r="G31" i="14"/>
  <c r="G47" i="14"/>
  <c r="G16" i="14"/>
  <c r="G32" i="14"/>
  <c r="G48" i="14"/>
  <c r="G17" i="14"/>
  <c r="G33" i="14"/>
  <c r="G49" i="14"/>
  <c r="G39" i="14"/>
  <c r="G24" i="14"/>
  <c r="G41" i="14"/>
  <c r="G18" i="14"/>
  <c r="G34" i="14"/>
  <c r="G50" i="14"/>
  <c r="G8" i="14"/>
  <c r="G10" i="3" s="1"/>
  <c r="G3" i="14"/>
  <c r="G5" i="3" s="1"/>
  <c r="G19" i="14"/>
  <c r="G35" i="14"/>
  <c r="G40" i="14"/>
  <c r="G4" i="14"/>
  <c r="G20" i="14"/>
  <c r="G36" i="14"/>
  <c r="G5" i="14"/>
  <c r="G7" i="3" s="1"/>
  <c r="G21" i="14"/>
  <c r="G37" i="14"/>
  <c r="G38" i="14"/>
  <c r="G25" i="14"/>
  <c r="G6" i="14"/>
  <c r="G8" i="3" s="1"/>
  <c r="G22" i="14"/>
  <c r="G7" i="14"/>
  <c r="G9" i="3" s="1"/>
  <c r="G23" i="14"/>
  <c r="G10" i="14"/>
  <c r="G26" i="14"/>
  <c r="G42" i="14"/>
  <c r="L2" i="15"/>
  <c r="B4" i="7" s="1" a="1"/>
  <c r="B4" i="7" s="1"/>
  <c r="B5" i="7" a="1"/>
  <c r="B5" i="7" s="1"/>
  <c r="B6" i="7" a="1"/>
  <c r="B6" i="7" s="1"/>
  <c r="I2" i="16" a="1"/>
  <c r="I2" i="16" s="1"/>
  <c r="J2" i="15" a="1"/>
  <c r="J2" i="15" s="1"/>
  <c r="E2" i="15" s="1"/>
  <c r="M2" i="14" a="1"/>
  <c r="G4" i="3"/>
  <c r="G6" i="3"/>
  <c r="C5" i="23"/>
  <c r="K2" i="15" s="1" a="1"/>
  <c r="H2" i="16" a="1"/>
  <c r="F3" i="16" l="1"/>
  <c r="F13" i="16"/>
  <c r="F7" i="16"/>
  <c r="F8" i="16"/>
  <c r="F4" i="16"/>
  <c r="F5" i="16"/>
  <c r="F19" i="16"/>
  <c r="F21" i="16"/>
  <c r="F22" i="16"/>
  <c r="F35" i="16"/>
  <c r="F6" i="16"/>
  <c r="F16" i="16"/>
  <c r="F28" i="16"/>
  <c r="F37" i="16"/>
  <c r="F41" i="16"/>
  <c r="F29" i="16"/>
  <c r="F12" i="16"/>
  <c r="F11" i="16"/>
  <c r="F18" i="16"/>
  <c r="F17" i="16"/>
  <c r="F25" i="16"/>
  <c r="F23" i="16"/>
  <c r="F45" i="16"/>
  <c r="F9" i="16"/>
  <c r="F34" i="16"/>
  <c r="F40" i="16"/>
  <c r="F32" i="16"/>
  <c r="F24" i="16"/>
  <c r="F10" i="16"/>
  <c r="F44" i="16"/>
  <c r="F39" i="16"/>
  <c r="F48" i="16"/>
  <c r="F49" i="16"/>
  <c r="F47" i="16"/>
  <c r="F33" i="16"/>
  <c r="F2" i="16"/>
  <c r="F27" i="16"/>
  <c r="F31" i="16"/>
  <c r="F20" i="16"/>
  <c r="F15" i="16"/>
  <c r="F38" i="16"/>
  <c r="F30" i="16"/>
  <c r="F26" i="16"/>
  <c r="F43" i="16"/>
  <c r="F36" i="16"/>
  <c r="F46" i="16"/>
  <c r="F42" i="16"/>
  <c r="F50" i="16"/>
  <c r="F14" i="16"/>
  <c r="E3" i="15"/>
  <c r="M2" i="14"/>
  <c r="N10" i="14" a="1"/>
  <c r="N10" i="14" s="1"/>
  <c r="N40" i="14" a="1"/>
  <c r="N40" i="14" s="1"/>
  <c r="N35" i="14" a="1"/>
  <c r="N35" i="14" s="1"/>
  <c r="N11" i="14" a="1"/>
  <c r="N11" i="14" s="1"/>
  <c r="N26" i="14" a="1"/>
  <c r="N26" i="14" s="1"/>
  <c r="N41" i="14" a="1"/>
  <c r="N41" i="14" s="1"/>
  <c r="N49" i="14" a="1"/>
  <c r="N49" i="14" s="1"/>
  <c r="N37" i="14" a="1"/>
  <c r="N37" i="14" s="1"/>
  <c r="N12" i="14" a="1"/>
  <c r="N12" i="14" s="1"/>
  <c r="N27" i="14" a="1"/>
  <c r="N27" i="14" s="1"/>
  <c r="N50" i="14" a="1"/>
  <c r="N50" i="14" s="1"/>
  <c r="N13" i="14" a="1"/>
  <c r="N13" i="14" s="1"/>
  <c r="N28" i="14" a="1"/>
  <c r="N28" i="14" s="1"/>
  <c r="N42" i="14" a="1"/>
  <c r="N42" i="14" s="1"/>
  <c r="N14" i="14" a="1"/>
  <c r="N14" i="14" s="1"/>
  <c r="N29" i="14" a="1"/>
  <c r="N29" i="14" s="1"/>
  <c r="N43" i="14" a="1"/>
  <c r="N43" i="14" s="1"/>
  <c r="N15" i="14" a="1"/>
  <c r="N15" i="14" s="1"/>
  <c r="N30" i="14" a="1"/>
  <c r="N30" i="14" s="1"/>
  <c r="N44" i="14" a="1"/>
  <c r="N44" i="14" s="1"/>
  <c r="N36" i="14" a="1"/>
  <c r="N36" i="14" s="1"/>
  <c r="N16" i="14" a="1"/>
  <c r="N16" i="14" s="1"/>
  <c r="N31" i="14" a="1"/>
  <c r="N31" i="14" s="1"/>
  <c r="N45" i="14" a="1"/>
  <c r="N45" i="14" s="1"/>
  <c r="N17" i="14" a="1"/>
  <c r="N17" i="14" s="1"/>
  <c r="N32" i="14" a="1"/>
  <c r="N32" i="14" s="1"/>
  <c r="N46" i="14" a="1"/>
  <c r="N46" i="14" s="1"/>
  <c r="N18" i="14" a="1"/>
  <c r="N18" i="14" s="1"/>
  <c r="N33" i="14" a="1"/>
  <c r="N33" i="14" s="1"/>
  <c r="N47" i="14" a="1"/>
  <c r="N47" i="14" s="1"/>
  <c r="N22" i="14" a="1"/>
  <c r="N22" i="14" s="1"/>
  <c r="N3" i="14" a="1"/>
  <c r="N3" i="14" s="1"/>
  <c r="N19" i="14" a="1"/>
  <c r="N19" i="14" s="1"/>
  <c r="N34" i="14" a="1"/>
  <c r="N34" i="14" s="1"/>
  <c r="N48" i="14" a="1"/>
  <c r="N48" i="14" s="1"/>
  <c r="N20" i="14" a="1"/>
  <c r="N20" i="14" s="1"/>
  <c r="N38" i="14" a="1"/>
  <c r="N38" i="14" s="1"/>
  <c r="N9" i="14" a="1"/>
  <c r="N9" i="14" s="1"/>
  <c r="N25" i="14" a="1"/>
  <c r="N25" i="14" s="1"/>
  <c r="N39" i="14" a="1"/>
  <c r="N39" i="14" s="1"/>
  <c r="N21" i="14" a="1"/>
  <c r="N21" i="14" s="1"/>
  <c r="N23" i="14" a="1"/>
  <c r="N23" i="14" s="1"/>
  <c r="N24" i="14" a="1"/>
  <c r="N24" i="14" s="1"/>
  <c r="E4" i="15"/>
  <c r="E5" i="15"/>
  <c r="F46" i="14"/>
  <c r="F30" i="14"/>
  <c r="F14" i="14"/>
  <c r="F45" i="14"/>
  <c r="F29" i="14"/>
  <c r="F13" i="14"/>
  <c r="F44" i="14"/>
  <c r="F28" i="14"/>
  <c r="F12" i="14"/>
  <c r="F43" i="14"/>
  <c r="F27" i="14"/>
  <c r="F11" i="14"/>
  <c r="F3" i="14"/>
  <c r="X5" i="3" s="1"/>
  <c r="F18" i="14"/>
  <c r="F42" i="14"/>
  <c r="F26" i="14"/>
  <c r="F10" i="14"/>
  <c r="F19" i="14"/>
  <c r="F34" i="14"/>
  <c r="F41" i="14"/>
  <c r="F25" i="14"/>
  <c r="F9" i="14"/>
  <c r="F40" i="14"/>
  <c r="F24" i="14"/>
  <c r="F8" i="14"/>
  <c r="X10" i="3" s="1"/>
  <c r="F39" i="14"/>
  <c r="F23" i="14"/>
  <c r="F7" i="14"/>
  <c r="X9" i="3" s="1"/>
  <c r="F38" i="14"/>
  <c r="F22" i="14"/>
  <c r="F6" i="14"/>
  <c r="X8" i="3" s="1"/>
  <c r="F50" i="14"/>
  <c r="F37" i="14"/>
  <c r="F21" i="14"/>
  <c r="F5" i="14"/>
  <c r="X7" i="3" s="1"/>
  <c r="F36" i="14"/>
  <c r="F20" i="14"/>
  <c r="F4" i="14"/>
  <c r="X6" i="3" s="1"/>
  <c r="F35" i="14"/>
  <c r="F49" i="14"/>
  <c r="F33" i="14"/>
  <c r="F17" i="14"/>
  <c r="F48" i="14"/>
  <c r="F32" i="14"/>
  <c r="F16" i="14"/>
  <c r="F47" i="14"/>
  <c r="F31" i="14"/>
  <c r="F15" i="14"/>
  <c r="K2" i="15"/>
  <c r="F2" i="15" s="1"/>
  <c r="C4" i="7" s="1"/>
  <c r="F3" i="15"/>
  <c r="C5" i="7" s="1"/>
  <c r="F4" i="15"/>
  <c r="C6" i="7" s="1"/>
  <c r="F5" i="15"/>
  <c r="C7" i="7" s="1"/>
  <c r="H2" i="16"/>
  <c r="E2" i="16" s="1"/>
  <c r="E17" i="16"/>
  <c r="E33" i="16"/>
  <c r="E49" i="16"/>
  <c r="E18" i="16"/>
  <c r="E34" i="16"/>
  <c r="E50" i="16"/>
  <c r="E3" i="16"/>
  <c r="E19" i="16"/>
  <c r="E35" i="16"/>
  <c r="E41" i="16"/>
  <c r="E4" i="16"/>
  <c r="E20" i="16"/>
  <c r="E36" i="16"/>
  <c r="E25" i="16"/>
  <c r="E5" i="16"/>
  <c r="E21" i="16"/>
  <c r="E37" i="16"/>
  <c r="E6" i="16"/>
  <c r="E22" i="16"/>
  <c r="E38" i="16"/>
  <c r="E7" i="16"/>
  <c r="E23" i="16"/>
  <c r="E39" i="16"/>
  <c r="E9" i="16"/>
  <c r="E47" i="16"/>
  <c r="E32" i="16"/>
  <c r="E8" i="16"/>
  <c r="E24" i="16"/>
  <c r="E40" i="16"/>
  <c r="E10" i="16"/>
  <c r="E26" i="16"/>
  <c r="E42" i="16"/>
  <c r="E11" i="16"/>
  <c r="E27" i="16"/>
  <c r="E43" i="16"/>
  <c r="E12" i="16"/>
  <c r="E28" i="16"/>
  <c r="E44" i="16"/>
  <c r="E30" i="16"/>
  <c r="E31" i="16"/>
  <c r="E48" i="16"/>
  <c r="E13" i="16"/>
  <c r="E29" i="16"/>
  <c r="E45" i="16"/>
  <c r="E14" i="16"/>
  <c r="E46" i="16"/>
  <c r="E15" i="16"/>
  <c r="E16" i="16"/>
  <c r="N6" i="14" l="1" a="1"/>
  <c r="N6" i="14" s="1"/>
  <c r="Y8" i="3" s="1"/>
  <c r="H8" i="3" s="1" a="1"/>
  <c r="H8" i="3" s="1"/>
  <c r="Y41" i="3"/>
  <c r="Y43" i="3"/>
  <c r="AA43" i="3" s="1" a="1"/>
  <c r="AA43" i="3" s="1"/>
  <c r="Y13" i="3"/>
  <c r="W13" i="3" s="1" a="1"/>
  <c r="W13" i="3" s="1"/>
  <c r="Y39" i="3"/>
  <c r="W39" i="3" s="1" a="1"/>
  <c r="W39" i="3" s="1"/>
  <c r="Y51" i="3"/>
  <c r="W51" i="3" s="1" a="1"/>
  <c r="W51" i="3" s="1"/>
  <c r="Y37" i="3"/>
  <c r="W37" i="3" s="1" a="1"/>
  <c r="W37" i="3" s="1"/>
  <c r="Y42" i="3"/>
  <c r="W42" i="3" s="1" a="1"/>
  <c r="W42" i="3" s="1"/>
  <c r="Y50" i="3"/>
  <c r="W50" i="3" s="1" a="1"/>
  <c r="W50" i="3" s="1"/>
  <c r="Y12" i="3"/>
  <c r="AA12" i="3" s="1" a="1"/>
  <c r="AA12" i="3" s="1"/>
  <c r="Y47" i="3"/>
  <c r="AA47" i="3" s="1" a="1"/>
  <c r="AA47" i="3" s="1"/>
  <c r="Y11" i="3"/>
  <c r="W11" i="3" s="1" a="1"/>
  <c r="W11" i="3" s="1"/>
  <c r="Y28" i="3"/>
  <c r="W28" i="3" s="1" a="1"/>
  <c r="W28" i="3" s="1"/>
  <c r="Y36" i="3"/>
  <c r="AA36" i="3" s="1" a="1"/>
  <c r="AA36" i="3" s="1"/>
  <c r="Y24" i="3"/>
  <c r="W24" i="3" s="1" a="1"/>
  <c r="W24" i="3" s="1"/>
  <c r="Y16" i="3"/>
  <c r="W16" i="3" s="1" a="1"/>
  <c r="W16" i="3" s="1"/>
  <c r="Y5" i="3"/>
  <c r="H5" i="3" s="1" a="1"/>
  <c r="H5" i="3" s="1"/>
  <c r="Y49" i="3"/>
  <c r="Y44" i="3"/>
  <c r="AA44" i="3" s="1" a="1"/>
  <c r="AA44" i="3" s="1"/>
  <c r="Y40" i="3"/>
  <c r="AA40" i="3" s="1" a="1"/>
  <c r="AA40" i="3" s="1"/>
  <c r="Y17" i="3"/>
  <c r="AA17" i="3" s="1" a="1"/>
  <c r="AA17" i="3" s="1"/>
  <c r="Y31" i="3"/>
  <c r="W31" i="3" s="1" a="1"/>
  <c r="W31" i="3" s="1"/>
  <c r="Y35" i="3"/>
  <c r="AA35" i="3" s="1" a="1"/>
  <c r="AA35" i="3" s="1"/>
  <c r="Y30" i="3"/>
  <c r="AA30" i="3" s="1" a="1"/>
  <c r="AA30" i="3" s="1"/>
  <c r="Y33" i="3"/>
  <c r="W33" i="3" s="1" a="1"/>
  <c r="W33" i="3" s="1"/>
  <c r="Y18" i="3"/>
  <c r="AA18" i="3" s="1" a="1"/>
  <c r="AA18" i="3" s="1"/>
  <c r="Y46" i="3"/>
  <c r="W46" i="3" s="1" a="1"/>
  <c r="W46" i="3" s="1"/>
  <c r="Y32" i="3"/>
  <c r="W32" i="3" s="1" a="1"/>
  <c r="W32" i="3" s="1"/>
  <c r="Y45" i="3"/>
  <c r="W45" i="3" s="1" a="1"/>
  <c r="W45" i="3" s="1"/>
  <c r="Y20" i="3"/>
  <c r="W20" i="3" s="1" a="1"/>
  <c r="W20" i="3" s="1"/>
  <c r="Y15" i="3"/>
  <c r="AA15" i="3" s="1" a="1"/>
  <c r="AA15" i="3" s="1"/>
  <c r="Y38" i="3"/>
  <c r="AA38" i="3" s="1" a="1"/>
  <c r="AA38" i="3" s="1"/>
  <c r="Y21" i="3"/>
  <c r="W21" i="3" s="1" a="1"/>
  <c r="W21" i="3" s="1"/>
  <c r="Y26" i="3"/>
  <c r="W26" i="3" s="1" a="1"/>
  <c r="W26" i="3" s="1"/>
  <c r="Y48" i="3"/>
  <c r="AA48" i="3" s="1" a="1"/>
  <c r="AA48" i="3" s="1"/>
  <c r="Y25" i="3"/>
  <c r="AA25" i="3" s="1" a="1"/>
  <c r="AA25" i="3" s="1"/>
  <c r="Y34" i="3"/>
  <c r="W34" i="3" s="1" a="1"/>
  <c r="W34" i="3" s="1"/>
  <c r="Y29" i="3"/>
  <c r="AA29" i="3" s="1" a="1"/>
  <c r="AA29" i="3" s="1"/>
  <c r="Y27" i="3"/>
  <c r="W27" i="3" s="1" a="1"/>
  <c r="W27" i="3" s="1"/>
  <c r="Y22" i="3"/>
  <c r="AA22" i="3" s="1" a="1"/>
  <c r="AA22" i="3" s="1"/>
  <c r="Y23" i="3"/>
  <c r="AA23" i="3" s="1" a="1"/>
  <c r="AA23" i="3" s="1"/>
  <c r="Y19" i="3"/>
  <c r="AA19" i="3" s="1" a="1"/>
  <c r="AA19" i="3" s="1"/>
  <c r="Y14" i="3"/>
  <c r="W14" i="3" s="1" a="1"/>
  <c r="W14" i="3" s="1"/>
  <c r="N7" i="14" a="1"/>
  <c r="N7" i="14" s="1"/>
  <c r="N5" i="14" a="1"/>
  <c r="N5" i="14" s="1"/>
  <c r="N8" i="14" a="1"/>
  <c r="N8" i="14" s="1"/>
  <c r="W49" i="3" a="1"/>
  <c r="W49" i="3" s="1"/>
  <c r="AA49" i="3" a="1"/>
  <c r="AA49" i="3" s="1"/>
  <c r="F2" i="14"/>
  <c r="X4" i="3" s="1"/>
  <c r="N4" i="14" a="1"/>
  <c r="N4" i="14" s="1"/>
  <c r="W41" i="3" a="1"/>
  <c r="W41" i="3" s="1"/>
  <c r="AA41" i="3" a="1"/>
  <c r="AA41" i="3" s="1"/>
  <c r="W8" i="3" l="1" a="1"/>
  <c r="W8" i="3" s="1"/>
  <c r="W25" i="3" a="1"/>
  <c r="W25" i="3" s="1"/>
  <c r="AA21" i="3" a="1"/>
  <c r="AA21" i="3" s="1"/>
  <c r="W40" i="3" a="1"/>
  <c r="W40" i="3" s="1"/>
  <c r="W48" i="3" a="1"/>
  <c r="W48" i="3" s="1"/>
  <c r="AA26" i="3" a="1"/>
  <c r="AA26" i="3" s="1"/>
  <c r="W44" i="3" a="1"/>
  <c r="W44" i="3" s="1"/>
  <c r="AA51" i="3" a="1"/>
  <c r="AA51" i="3" s="1"/>
  <c r="AA32" i="3" a="1"/>
  <c r="AA32" i="3" s="1"/>
  <c r="AA39" i="3" a="1"/>
  <c r="AA39" i="3" s="1"/>
  <c r="W43" i="3" a="1"/>
  <c r="W43" i="3" s="1"/>
  <c r="AA13" i="3" a="1"/>
  <c r="AA13" i="3" s="1"/>
  <c r="AA46" i="3" a="1"/>
  <c r="AA46" i="3" s="1"/>
  <c r="W38" i="3" a="1"/>
  <c r="W38" i="3" s="1"/>
  <c r="AA42" i="3" a="1"/>
  <c r="AA42" i="3" s="1"/>
  <c r="W47" i="3" a="1"/>
  <c r="W47" i="3" s="1"/>
  <c r="W15" i="3" a="1"/>
  <c r="W15" i="3" s="1"/>
  <c r="AA11" i="3" a="1"/>
  <c r="AA11" i="3" s="1"/>
  <c r="AA27" i="3" a="1"/>
  <c r="AA27" i="3" s="1"/>
  <c r="W35" i="3" a="1"/>
  <c r="W35" i="3" s="1"/>
  <c r="AA14" i="3" a="1"/>
  <c r="AA14" i="3" s="1"/>
  <c r="AA50" i="3" a="1"/>
  <c r="AA50" i="3" s="1"/>
  <c r="AA8" i="3" a="1"/>
  <c r="AA8" i="3" s="1"/>
  <c r="AA16" i="3" a="1"/>
  <c r="AA16" i="3" s="1"/>
  <c r="W23" i="3" a="1"/>
  <c r="W23" i="3" s="1"/>
  <c r="W18" i="3" a="1"/>
  <c r="W18" i="3" s="1"/>
  <c r="AA33" i="3" a="1"/>
  <c r="AA33" i="3" s="1"/>
  <c r="W12" i="3" a="1"/>
  <c r="W12" i="3" s="1"/>
  <c r="W19" i="3" a="1"/>
  <c r="W19" i="3" s="1"/>
  <c r="AA45" i="3" a="1"/>
  <c r="AA45" i="3" s="1"/>
  <c r="AA28" i="3" a="1"/>
  <c r="AA28" i="3" s="1"/>
  <c r="W22" i="3" a="1"/>
  <c r="W22" i="3" s="1"/>
  <c r="W36" i="3" a="1"/>
  <c r="W36" i="3" s="1"/>
  <c r="W17" i="3" a="1"/>
  <c r="W17" i="3" s="1"/>
  <c r="AA24" i="3" a="1"/>
  <c r="AA24" i="3" s="1"/>
  <c r="Y10" i="3"/>
  <c r="H10" i="3" s="1" a="1"/>
  <c r="H10" i="3" s="1"/>
  <c r="Y9" i="3"/>
  <c r="H9" i="3" s="1" a="1"/>
  <c r="H9" i="3" s="1"/>
  <c r="Y7" i="3"/>
  <c r="H7" i="3" s="1" a="1"/>
  <c r="H7" i="3" s="1"/>
  <c r="AA34" i="3" a="1"/>
  <c r="AA34" i="3" s="1"/>
  <c r="AA20" i="3" a="1"/>
  <c r="AA20" i="3" s="1"/>
  <c r="W30" i="3" a="1"/>
  <c r="W30" i="3" s="1"/>
  <c r="AA37" i="3" a="1"/>
  <c r="AA37" i="3" s="1"/>
  <c r="Y6" i="3"/>
  <c r="H6" i="3" s="1" a="1"/>
  <c r="H6" i="3" s="1"/>
  <c r="AA5" i="3" a="1"/>
  <c r="AA5" i="3" s="1"/>
  <c r="W29" i="3" a="1"/>
  <c r="W29" i="3" s="1"/>
  <c r="W5" i="3" a="1"/>
  <c r="W5" i="3" s="1"/>
  <c r="AA31" i="3" a="1"/>
  <c r="AA31" i="3" s="1"/>
  <c r="N2" i="14" a="1"/>
  <c r="N2" i="14" s="1"/>
  <c r="W6" i="3" l="1" a="1"/>
  <c r="W6" i="3" s="1"/>
  <c r="W10" i="3" a="1"/>
  <c r="W10" i="3" s="1"/>
  <c r="AA6" i="3" a="1"/>
  <c r="AA6" i="3" s="1"/>
  <c r="AA10" i="3" a="1"/>
  <c r="AA10" i="3" s="1"/>
  <c r="AA7" i="3" a="1"/>
  <c r="AA7" i="3" s="1"/>
  <c r="W7" i="3" a="1"/>
  <c r="W7" i="3" s="1"/>
  <c r="AA9" i="3" a="1"/>
  <c r="AA9" i="3" s="1"/>
  <c r="W9" i="3" a="1"/>
  <c r="W9" i="3" s="1"/>
  <c r="Y4" i="3"/>
  <c r="AA4" i="3" l="1" a="1"/>
  <c r="AA4" i="3" s="1"/>
  <c r="H4" i="3" a="1"/>
  <c r="H4" i="3" s="1"/>
  <c r="W4" i="3" a="1"/>
  <c r="W4" i="3" s="1"/>
  <c r="Q4" i="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<sst xmlns="http://schemas.openxmlformats.org/spreadsheetml/2006/main" count="510" uniqueCount="455">
  <si>
    <t>License</t>
  </si>
  <si>
    <t>Assets</t>
  </si>
  <si>
    <t>E.Info.DT.ACM-1</t>
  </si>
  <si>
    <t>ACM-1</t>
  </si>
  <si>
    <t>E.Info.DT.AUM-1-1</t>
  </si>
  <si>
    <t>E.Info.DT.AUM-1-2</t>
  </si>
  <si>
    <t>E.Info.DT.AUM-2</t>
  </si>
  <si>
    <t>E.Info.DT.AUM-4</t>
  </si>
  <si>
    <t>AUM-4</t>
  </si>
  <si>
    <t>E.Info.DT.AUM-5-1</t>
  </si>
  <si>
    <t>E.Info.DT.AUM-5-2</t>
  </si>
  <si>
    <t>AUM-6</t>
  </si>
  <si>
    <t>E.Info.DT.SSM-1</t>
  </si>
  <si>
    <t>SSM-2</t>
  </si>
  <si>
    <t>SSM-3</t>
  </si>
  <si>
    <t>E.Info.DT.SCM-1</t>
  </si>
  <si>
    <t>SCM-1</t>
  </si>
  <si>
    <t>SCM-2</t>
  </si>
  <si>
    <t>SCM-3</t>
  </si>
  <si>
    <t>SCM-4</t>
  </si>
  <si>
    <t>E.Info.DT.CCK-1</t>
  </si>
  <si>
    <t>E.Info.DT.CCK-2</t>
  </si>
  <si>
    <t>CCK-2</t>
  </si>
  <si>
    <t>E.Info.DT.CCK-3</t>
  </si>
  <si>
    <t>CCK-3</t>
  </si>
  <si>
    <t>CRY-1</t>
  </si>
  <si>
    <t>E.Info.DT.SUM-1</t>
  </si>
  <si>
    <t>SUM-2</t>
  </si>
  <si>
    <t>SUM-3</t>
  </si>
  <si>
    <t>E.Info.DT.ACM-3</t>
  </si>
  <si>
    <t>ACM-3</t>
  </si>
  <si>
    <t>E.Info.DT.ACM-4</t>
  </si>
  <si>
    <t>ACM-4</t>
  </si>
  <si>
    <t>E.Info.DT.ACM-5</t>
  </si>
  <si>
    <t>E.Info.DT.ACM-6</t>
  </si>
  <si>
    <t>E.Info.DT.AUM-2-1</t>
  </si>
  <si>
    <t>E.Info.DT.AUM-2-2</t>
  </si>
  <si>
    <t>Software components</t>
  </si>
  <si>
    <t>E.Info.DT.RLM-1</t>
  </si>
  <si>
    <t>RLM-1</t>
  </si>
  <si>
    <t>E.Info.DT.NMM-1</t>
  </si>
  <si>
    <t>NMM-1</t>
  </si>
  <si>
    <t>E.Info.DT.TCM-1</t>
  </si>
  <si>
    <t>TCM-1</t>
  </si>
  <si>
    <t>Cryptopraphy</t>
  </si>
  <si>
    <t>E.Info.DT.GEC-2</t>
  </si>
  <si>
    <t>E.Info.DT.GEC-3</t>
  </si>
  <si>
    <t>GEC-5</t>
  </si>
  <si>
    <t>E.Info.DT.GEC-6</t>
  </si>
  <si>
    <t>GEC-6</t>
  </si>
  <si>
    <t>Type</t>
  </si>
  <si>
    <t>Description</t>
  </si>
  <si>
    <t>Affected assets</t>
  </si>
  <si>
    <t>E.Info.DT.GEC-1</t>
  </si>
  <si>
    <t>GEC-1</t>
  </si>
  <si>
    <t>E.Info.DT.GEC-7</t>
  </si>
  <si>
    <t>GEC-7</t>
  </si>
  <si>
    <t>E.Info.DT.GEC-8</t>
  </si>
  <si>
    <t>GEC-8</t>
  </si>
  <si>
    <t>Date:</t>
  </si>
  <si>
    <t>E.Info.DT.AUM-1-3</t>
  </si>
  <si>
    <t>Events</t>
  </si>
  <si>
    <t>E.Info.DT.LGM-1</t>
  </si>
  <si>
    <t>E.Info.DT.LGM-2</t>
  </si>
  <si>
    <t>LGM-2</t>
  </si>
  <si>
    <t>LGM-3</t>
  </si>
  <si>
    <t>LGM-4</t>
  </si>
  <si>
    <t>E.Info.DT.LGM-4</t>
  </si>
  <si>
    <t>DLM-1</t>
  </si>
  <si>
    <t>E.Info.DT.DLM-1</t>
  </si>
  <si>
    <t>E.Info.DT.UNM-1</t>
  </si>
  <si>
    <t>Author:</t>
  </si>
  <si>
    <t>[name of the author]</t>
  </si>
  <si>
    <t>Product:</t>
  </si>
  <si>
    <t>[name of the product]</t>
  </si>
  <si>
    <t>[date of completion]</t>
  </si>
  <si>
    <t>Scope:</t>
  </si>
  <si>
    <t>The Radio Equipment Directive requirements a risk assessment to justify the Essential Requirements applicable to secure the equipment in scope.</t>
  </si>
  <si>
    <t>Description of the equipment</t>
  </si>
  <si>
    <t>Describe your equipment below in a few lines.</t>
  </si>
  <si>
    <t>Using this document</t>
  </si>
  <si>
    <t>cetome's REDact is your RED Assistant for Compliance Toolkit.</t>
  </si>
  <si>
    <t>This template is free to use.</t>
  </si>
  <si>
    <t>EN 18031 and its content is copyrighted by CEN/CENELEC. All rights reserved cetome 2026.</t>
  </si>
  <si>
    <r>
      <t xml:space="preserve">Description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</si>
  <si>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Asset ID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</si>
  <si>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Interface ID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</si>
  <si>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Type of interface
</t>
    </r>
    <r>
      <rPr>
        <i/>
        <sz val="11"/>
        <color theme="2"/>
        <rFont val="Leelawadee UI"/>
        <family val="2"/>
        <scheme val="minor"/>
      </rPr>
      <t>Dropdown menu</t>
    </r>
  </si>
  <si>
    <r>
      <t xml:space="preserve">Type of asset
</t>
    </r>
    <r>
      <rPr>
        <i/>
        <sz val="11"/>
        <color theme="2"/>
        <rFont val="Leelawadee UI"/>
        <family val="2"/>
        <scheme val="minor"/>
      </rPr>
      <t>Dropdown menu</t>
    </r>
  </si>
  <si>
    <r>
      <t xml:space="preserve">Criticity
</t>
    </r>
    <r>
      <rPr>
        <i/>
        <sz val="11"/>
        <color theme="2"/>
        <rFont val="Leelawadee UI"/>
        <family val="2"/>
        <scheme val="minor"/>
      </rPr>
      <t>Dropdown menu</t>
    </r>
  </si>
  <si>
    <r>
      <t xml:space="preserve">Parameter or Function?
</t>
    </r>
    <r>
      <rPr>
        <i/>
        <sz val="11"/>
        <color theme="2"/>
        <rFont val="Leelawadee UI"/>
        <family val="2"/>
        <scheme val="minor"/>
      </rPr>
      <t>Dropdown menu</t>
    </r>
  </si>
  <si>
    <r>
      <t xml:space="preserve">Is the interface a sensor?
</t>
    </r>
    <r>
      <rPr>
        <i/>
        <sz val="11"/>
        <color theme="2"/>
        <rFont val="Leelawadee UI"/>
        <family val="2"/>
        <scheme val="minor"/>
      </rPr>
      <t>Dropdown menu
If yes, [GEC-7] is applicable.
Only for EN 18031-2</t>
    </r>
  </si>
  <si>
    <r>
      <t xml:space="preserve">Entity ID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</si>
  <si>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Type of Entity
</t>
    </r>
    <r>
      <rPr>
        <i/>
        <sz val="11"/>
        <color theme="2"/>
        <rFont val="Leelawadee UI"/>
        <family val="2"/>
        <scheme val="minor"/>
      </rPr>
      <t>Dropdown menu</t>
    </r>
  </si>
  <si>
    <r>
      <t xml:space="preserve">Assets accessible by this entity
</t>
    </r>
    <r>
      <rPr>
        <i/>
        <sz val="11"/>
        <color theme="2"/>
        <rFont val="Leelawadee UI"/>
        <family val="2"/>
        <scheme val="minor"/>
      </rPr>
      <t>Free Text
From the tab "Assets"</t>
    </r>
  </si>
  <si>
    <r>
      <t xml:space="preserve">Interfaces accessible by this entity
</t>
    </r>
    <r>
      <rPr>
        <i/>
        <sz val="11"/>
        <color theme="2"/>
        <rFont val="Leelawadee UI"/>
        <family val="2"/>
        <scheme val="minor"/>
      </rPr>
      <t>Free Text
From the tab "Interfaces"</t>
    </r>
  </si>
  <si>
    <r>
      <t xml:space="preserve">Is the entity a child?
</t>
    </r>
    <r>
      <rPr>
        <i/>
        <sz val="11"/>
        <color theme="2"/>
        <rFont val="Leelawadee UI"/>
        <family val="2"/>
        <scheme val="minor"/>
      </rPr>
      <t>Dropdown menu
If yes, [ACM-3] to [ACM-6] are applicable</t>
    </r>
  </si>
  <si>
    <t>In the "Assets" tab, you can list all security, network, privacy and financial assets where applicable.</t>
  </si>
  <si>
    <t>This document supports the Conceptual Assessment of your equipment.</t>
  </si>
  <si>
    <t>GEC-4</t>
  </si>
  <si>
    <t>Access</t>
  </si>
  <si>
    <t>SSM</t>
  </si>
  <si>
    <t>AuthorisedAccess</t>
  </si>
  <si>
    <t>AuthFactor</t>
  </si>
  <si>
    <t>PartOfSoftw</t>
  </si>
  <si>
    <t>Asset</t>
  </si>
  <si>
    <t>TimeStamp</t>
  </si>
  <si>
    <t>RLM</t>
  </si>
  <si>
    <t>DLM</t>
  </si>
  <si>
    <t>SoftwareDocumentation</t>
  </si>
  <si>
    <t>List of entities</t>
  </si>
  <si>
    <t>Justification of access control</t>
  </si>
  <si>
    <t>AUM-1-1, AUM-1-2, AUM-1-3</t>
  </si>
  <si>
    <t>ACM.NetworkInterface, ACM.UserInterface, ACM.MachineInterface</t>
  </si>
  <si>
    <t>List of interfaces</t>
  </si>
  <si>
    <t>Assets x Interfaces</t>
  </si>
  <si>
    <t>Automatic from Assets tab</t>
  </si>
  <si>
    <r>
      <t xml:space="preserve">Assets </t>
    </r>
    <r>
      <rPr>
        <b/>
        <sz val="11"/>
        <color theme="1"/>
        <rFont val="Arial"/>
        <family val="2"/>
      </rPr>
      <t>˅</t>
    </r>
  </si>
  <si>
    <t>Interfaces &gt;</t>
  </si>
  <si>
    <t>Entities &gt;</t>
  </si>
  <si>
    <r>
      <t xml:space="preserve">Interface </t>
    </r>
    <r>
      <rPr>
        <b/>
        <sz val="11"/>
        <color theme="1"/>
        <rFont val="Arial"/>
        <family val="2"/>
      </rPr>
      <t>˅</t>
    </r>
  </si>
  <si>
    <t>Auto reference of Assets accessible by Interface (Excel trick)</t>
  </si>
  <si>
    <r>
      <t xml:space="preserve">Assets accessible from this interface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</si>
  <si>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Entities that can access this asset
</t>
    </r>
    <r>
      <rPr>
        <i/>
        <sz val="11"/>
        <color theme="2"/>
        <rFont val="Leelawadee UI"/>
        <family val="2"/>
        <scheme val="minor"/>
      </rPr>
      <t>Autofill</t>
    </r>
  </si>
  <si>
    <t>Assets accessible by Entity (Excel trick)</t>
  </si>
  <si>
    <t>Interfaces accessible by Entity (Excel trick)</t>
  </si>
  <si>
    <t>Type of assets &gt;</t>
  </si>
  <si>
    <r>
      <t xml:space="preserve">Entities that can access this interface
</t>
    </r>
    <r>
      <rPr>
        <i/>
        <sz val="11"/>
        <color theme="2"/>
        <rFont val="Leelawadee UI"/>
        <family val="2"/>
        <scheme val="minor"/>
      </rPr>
      <t>Autofill</t>
    </r>
  </si>
  <si>
    <t>Auto reference of Entities that can access this Interface (Excel trick)</t>
  </si>
  <si>
    <r>
      <t xml:space="preserve">Interfaces by which this asset is accessible
</t>
    </r>
    <r>
      <rPr>
        <i/>
        <sz val="11"/>
        <color theme="2"/>
        <rFont val="Leelawadee UI"/>
        <family val="2"/>
        <scheme val="minor"/>
      </rPr>
      <t>Autofill</t>
    </r>
  </si>
  <si>
    <t>Auto reference of Assets accessible by these Interfaces (Excel trick)</t>
  </si>
  <si>
    <t>Types of interfaces</t>
  </si>
  <si>
    <t>Excel trick: type of network interfaces by which the asset is accessible</t>
  </si>
  <si>
    <t>Description of Interfaces</t>
  </si>
  <si>
    <t>Description of assets</t>
  </si>
  <si>
    <t>Description of accesses</t>
  </si>
  <si>
    <t>ManagedAccess, IntendedFunctionality, AuthorizedEntities, AuthenticationMechanism, IntendedFunctionality, AuthorizedEntity, IntendedEnvironment, ReadOnlyFunctionality, ReadOnlyLegal, AuthenticationMechanism</t>
  </si>
  <si>
    <t>Description of Authentication Factor</t>
  </si>
  <si>
    <t>AUM-2, AUM-2-1, AUM-2-2</t>
  </si>
  <si>
    <t>AUM, AUM.AuthVal, AUM.AuthEnv</t>
  </si>
  <si>
    <t>AUM.ConfSecGoals, AUM.AuthChange</t>
  </si>
  <si>
    <t>Description of Authenticators Change</t>
  </si>
  <si>
    <t>Description of Authenticator Validation</t>
  </si>
  <si>
    <t>AUM.PwdProperty</t>
  </si>
  <si>
    <t>AUM-3, AUM-4, AUM-5-1, AUM-5-2, AUM-6</t>
  </si>
  <si>
    <t>Description of password properties</t>
  </si>
  <si>
    <t>AUM-5-1, AUM-5-2</t>
  </si>
  <si>
    <t>Description of brute force protection mechanisms</t>
  </si>
  <si>
    <t>AUM.BFProtection</t>
  </si>
  <si>
    <t>Software Component</t>
  </si>
  <si>
    <t>Description of Software Component</t>
  </si>
  <si>
    <t>SUM-1, SUM-2, SUM-3</t>
  </si>
  <si>
    <t>Updateability</t>
  </si>
  <si>
    <t>FuncSaftyImp, Immutable, AltMeasures, SUM</t>
  </si>
  <si>
    <t>SUM.Sign, SUM-2.SUM.SecChan, SUM-2.SUM.AccContMech, SUM-2.SUM.Generic</t>
  </si>
  <si>
    <t>Firmware signature</t>
  </si>
  <si>
    <t>Secure communication channel</t>
  </si>
  <si>
    <t>Access Control Mechanism</t>
  </si>
  <si>
    <t>Description of firmware protection mechanisms</t>
  </si>
  <si>
    <t>Description of firmware installation mechanisms</t>
  </si>
  <si>
    <t>SUM.Automation</t>
  </si>
  <si>
    <t>Yes. Persistently stored</t>
  </si>
  <si>
    <t>Description of secure storage mechanism</t>
  </si>
  <si>
    <t>Description of integrity protection for the permanently stored asset</t>
  </si>
  <si>
    <t>Asset permanently stored?</t>
  </si>
  <si>
    <t>Access Control for integrity protection</t>
  </si>
  <si>
    <t>Digital signature for integrity protection</t>
  </si>
  <si>
    <t>One-Time Programmable for integrity protection</t>
  </si>
  <si>
    <t>Hardware Protection for integrity protection</t>
  </si>
  <si>
    <t>Encryption for authenticity protection</t>
  </si>
  <si>
    <t>Access Control for authenticity protection</t>
  </si>
  <si>
    <t>Hardware Protection for authenticity protection</t>
  </si>
  <si>
    <t>Description of authenticity protection for the permanently stored asset</t>
  </si>
  <si>
    <t>SSM.Encryption, SSM.AccessControl, SSM.HardwareProtection, SSM.Generic</t>
  </si>
  <si>
    <t>SSM.DigitalSignature, SSM.AccessControl, SSM.OTProgrammable, SSM.HardwareProtection, SSM.Generic</t>
  </si>
  <si>
    <t>Asset communicated via network interface?</t>
  </si>
  <si>
    <t>SSM-1, SSM-2, SSM-3</t>
  </si>
  <si>
    <t>AUM-1-1, AUM-1-2, AUM-1-3, SCM-1</t>
  </si>
  <si>
    <t>List of network interfaces</t>
  </si>
  <si>
    <t>Type of interface &gt;</t>
  </si>
  <si>
    <t>Excel trick: entities that can access this asset</t>
  </si>
  <si>
    <t>Auto reference to network interfaces for SCM-1 (Excel trick)</t>
  </si>
  <si>
    <t>Auto reference to network type for SCM-1 (Excel trick)</t>
  </si>
  <si>
    <r>
      <t xml:space="preserve">Media for this interface
</t>
    </r>
    <r>
      <rPr>
        <i/>
        <sz val="11"/>
        <color theme="2"/>
        <rFont val="Leelawadee UI"/>
        <family val="2"/>
        <scheme val="minor"/>
      </rPr>
      <t>Dropdown menu</t>
    </r>
  </si>
  <si>
    <t>Description of use-cases for when the asset is communicated</t>
  </si>
  <si>
    <t>Description of network interfaces</t>
  </si>
  <si>
    <t>Type of network interfaces</t>
  </si>
  <si>
    <t>*Asset.Class, *Asset.Com</t>
  </si>
  <si>
    <t>*Assets.AddMeasures</t>
  </si>
  <si>
    <t>Description of additional authentication measures</t>
  </si>
  <si>
    <t>SCM.States, SCM.SecObjectives, Sec.Manage</t>
  </si>
  <si>
    <t>Description of asset communication</t>
  </si>
  <si>
    <t>Interface, Interface.*Asset, Interface.*</t>
  </si>
  <si>
    <t>Manufacturing Secret for integrity protection</t>
  </si>
  <si>
    <t>Second Channel for integrity protection</t>
  </si>
  <si>
    <t>PKI for integrity protection</t>
  </si>
  <si>
    <t>Third-party trust for integrity protection</t>
  </si>
  <si>
    <t>SCM.Capabilities, SCM.ManufSecret, SCM.SecChanExchange, SCM.PKI-Based, SCM.ThirdPartyTrust, SCM.Generic, SCM.CCK, SCM.ThreatProtection</t>
  </si>
  <si>
    <t>Description of integrity protection for the communicated assets</t>
  </si>
  <si>
    <t>Channel encryption for confidentiality protection</t>
  </si>
  <si>
    <t>Message encryption for confidentiality protection</t>
  </si>
  <si>
    <t>Description of confidentiality protection for the communicated assets</t>
  </si>
  <si>
    <t>SCM.Capabilities, SCM.MessageEnc, SCM.ChannelEnc, SCM.Generic, SCM.ImplDetail, SCM.CCK, SCM.ThreatProtection</t>
  </si>
  <si>
    <t>SCM.Capabilities, SCM.SeqNumb, SCM.TimeStamp, SCM.OneTimeEncKey, SCM.Generic, SCM.ImplDetail, SCM.Repudiation</t>
  </si>
  <si>
    <t>Sequence Number</t>
  </si>
  <si>
    <t>One Time Encryption Key</t>
  </si>
  <si>
    <t>SCM-1, SCM-2, SCM-3, SCM-4</t>
  </si>
  <si>
    <t>Description of CCK implementation</t>
  </si>
  <si>
    <t>CCK, CCK.*</t>
  </si>
  <si>
    <t>Generation, Generation.*</t>
  </si>
  <si>
    <t>Description of CCK generation</t>
  </si>
  <si>
    <t>CCK-1, CCK-3</t>
  </si>
  <si>
    <t>CCK.Unique, CCK.Shared, CCK.Controlled</t>
  </si>
  <si>
    <t>Description of CCK uniqueness</t>
  </si>
  <si>
    <t>Confidential cryptographic key?</t>
  </si>
  <si>
    <t>Description of cryptography</t>
  </si>
  <si>
    <t>List of assets using this cryptography</t>
  </si>
  <si>
    <t>E.Info.DT.CRY-1</t>
  </si>
  <si>
    <t>Assets.Cryptography, Assets.Crytpography.Deviation</t>
  </si>
  <si>
    <t>Network interfaces (Excel Trick)</t>
  </si>
  <si>
    <t>Network Interfaces</t>
  </si>
  <si>
    <t>NetworkInterfaces</t>
  </si>
  <si>
    <t>IC.NMM-1.GTPFiltering</t>
  </si>
  <si>
    <t>IP Packet Filtering</t>
  </si>
  <si>
    <t>IC.NMM-1.IPPacketFiltering</t>
  </si>
  <si>
    <t>GTP Filtering</t>
  </si>
  <si>
    <t>NMM, NMM.*</t>
  </si>
  <si>
    <t>TCM, TCM.*</t>
  </si>
  <si>
    <t>Datagram Rules</t>
  </si>
  <si>
    <t>Traffic Separation</t>
  </si>
  <si>
    <t>IC.TCM-1.DatagramRules</t>
  </si>
  <si>
    <t>IC.TCM-1.TrafficSeparation</t>
  </si>
  <si>
    <t>Description of anti-replay mechanisms for the communicated assets</t>
  </si>
  <si>
    <t>Description of resilience mechanism</t>
  </si>
  <si>
    <t>Description of network monitoring mechanism</t>
  </si>
  <si>
    <t>Description of traffic control mechanism</t>
  </si>
  <si>
    <t>Description of data deletion mechanisms</t>
  </si>
  <si>
    <t>UNM-1, UNM-2</t>
  </si>
  <si>
    <t>PersonalInformation.*</t>
  </si>
  <si>
    <t>Description of user notification mechanisms</t>
  </si>
  <si>
    <t>PrivacyAssetEvent, PrivacyAssetEvent.*, LGM</t>
  </si>
  <si>
    <t>Description of storage for logging events</t>
  </si>
  <si>
    <t>LGM.*</t>
  </si>
  <si>
    <t>LGM.Quantity</t>
  </si>
  <si>
    <t>Description of minimum event storage</t>
  </si>
  <si>
    <t>Description of logging data and mechanisms</t>
  </si>
  <si>
    <t>Description of time-related information</t>
  </si>
  <si>
    <t>LGM.Time*</t>
  </si>
  <si>
    <t>Description and version</t>
  </si>
  <si>
    <t>Component</t>
  </si>
  <si>
    <t>ListOfVulnerabilities, ListOfVulnerabilities.*</t>
  </si>
  <si>
    <t>Vulnerabilities and risk reduction</t>
  </si>
  <si>
    <r>
      <t xml:space="preserve">External *physical* interface?
</t>
    </r>
    <r>
      <rPr>
        <i/>
        <sz val="11"/>
        <color theme="2"/>
        <rFont val="Leelawadee UI"/>
        <family val="2"/>
        <scheme val="minor"/>
      </rPr>
      <t>Dropdown menu</t>
    </r>
    <r>
      <rPr>
        <b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If yes, [GEC-5] is applicable</t>
    </r>
  </si>
  <si>
    <t>NetworkInterface.Exposure, Setup</t>
  </si>
  <si>
    <t>Assets accessible</t>
  </si>
  <si>
    <t>Interface types accessible for GEC (Excel trick)</t>
  </si>
  <si>
    <t>E.Info.DT.GEC-4</t>
  </si>
  <si>
    <t>Description of interface exposure and options</t>
  </si>
  <si>
    <t>UserDoc.NetworkInterface.Exposure</t>
  </si>
  <si>
    <t>User documentation for network interface and services</t>
  </si>
  <si>
    <t>GEC-2, GEC-3, GEC-4</t>
  </si>
  <si>
    <t xml:space="preserve"> Interfaces</t>
  </si>
  <si>
    <t>GEC-2, GEC-3</t>
  </si>
  <si>
    <t>PhysicalExternalInterface, PhysicalExternalInterface.*, IntFunc</t>
  </si>
  <si>
    <t>Description of physical external interface</t>
  </si>
  <si>
    <t>ExternalInterface, ExternalInterface.*</t>
  </si>
  <si>
    <t>Description of input validation</t>
  </si>
  <si>
    <t>NonNetworkInterface, UserDoc.NonNetworkInterface</t>
  </si>
  <si>
    <t>Description of sensors</t>
  </si>
  <si>
    <t>Software parts</t>
  </si>
  <si>
    <t>Integrity protection</t>
  </si>
  <si>
    <t>BootProcess, BootProcess.*</t>
  </si>
  <si>
    <t>Description of secure boot</t>
  </si>
  <si>
    <t>LGM-1, LGM-2, LGM-3, LGM-4</t>
  </si>
  <si>
    <t>ACM-1, ACM-2, ACM-3, ACM-4, ACM-5, ACM-6, SSM-1, SCM-1, SCM-2, SCM-3, DLM-1, UNM-1, GEC-1</t>
  </si>
  <si>
    <t>PublicAccess, Environment, Legal, ACM</t>
  </si>
  <si>
    <t>PrivacyAsset.TrustedSources</t>
  </si>
  <si>
    <t>Description of privacy protection for children</t>
  </si>
  <si>
    <t>List of authorised third-parties</t>
  </si>
  <si>
    <t>Accessible by children?</t>
  </si>
  <si>
    <t>ACM-1, ACM-2, ACM-3, ACM-4, ACM-5, AUM-1-1, AUM-1-2, AUM-1-3, SSM-1</t>
  </si>
  <si>
    <t>Accessible by other entities than children or their guardian?</t>
  </si>
  <si>
    <r>
      <t xml:space="preserve">Decision node
</t>
    </r>
    <r>
      <rPr>
        <i/>
        <sz val="10"/>
        <color theme="2"/>
        <rFont val="Leelawadee UI"/>
        <family val="2"/>
        <scheme val="minor"/>
      </rPr>
      <t>Dropdown menu</t>
    </r>
  </si>
  <si>
    <r>
      <t xml:space="preserve">ID of each software component from the E.Info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</si>
  <si>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Decision node
</t>
    </r>
    <r>
      <rPr>
        <i/>
        <sz val="11"/>
        <color theme="2"/>
        <rFont val="Leelawadee UI"/>
        <family val="2"/>
        <scheme val="minor"/>
      </rPr>
      <t>Dropdown menu</t>
    </r>
  </si>
  <si>
    <r>
      <rPr>
        <b/>
        <sz val="11"/>
        <color theme="1"/>
        <rFont val="Leelawadee UI"/>
        <family val="2"/>
        <scheme val="minor"/>
      </rPr>
      <t xml:space="preserve">E.Info.SUM-1.PartOfSoftw, E.Info.SUM-2.PartOfSoftw, E.Info.SUM-3.PartOfSoftw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</si>
  <si>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each software component in the device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</si>
  <si>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E.Info.SUM-1.PartOfSoftw.FuncSaftyImp, E.Info.SUM-1.PartOfSoftw.Immutable,  E.Info.SUM-1.PartOfSoftw.AltMeasures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</si>
  <si>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the updateability of the software component, or justification of why it cannot be updated
</t>
    </r>
    <r>
      <rPr>
        <i/>
        <sz val="11"/>
        <color theme="2"/>
        <rFont val="Leelawadee UI"/>
        <family val="2"/>
        <scheme val="minor"/>
      </rPr>
      <t>Free Text</t>
    </r>
  </si>
  <si>
    <r>
      <rPr>
        <b/>
        <sz val="11"/>
        <color theme="1"/>
        <rFont val="Leelawadee UI"/>
        <family val="2"/>
        <scheme val="minor"/>
      </rPr>
      <t>E.Info.SUM-2.SUM.Sign, E.Info.SUM-2.SUM.SecChan, E.Info.SUM-2.SUM.AccContMech, E.Info.SUM-2.SUM.Generic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Autofill</t>
    </r>
  </si>
  <si>
    <r>
      <rPr>
        <b/>
        <sz val="11"/>
        <color theme="1"/>
        <rFont val="Leelawadee UI"/>
        <family val="2"/>
        <scheme val="minor"/>
      </rPr>
      <t>IC.SUM-2.AuthIntVal.Sign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Dropdown menu</t>
    </r>
  </si>
  <si>
    <r>
      <rPr>
        <b/>
        <sz val="11"/>
        <color theme="1"/>
        <rFont val="Leelawadee UI"/>
        <family val="2"/>
        <scheme val="minor"/>
      </rPr>
      <t>IC.SUM-2.AuthIntVal.SecChan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Dropdown menu</t>
    </r>
  </si>
  <si>
    <r>
      <rPr>
        <b/>
        <sz val="11"/>
        <color theme="1"/>
        <rFont val="Leelawadee UI"/>
        <family val="2"/>
        <scheme val="minor"/>
      </rPr>
      <t>IC.SUM-2.AuthIntVal.AccContMech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Dropdown menu</t>
    </r>
  </si>
  <si>
    <r>
      <t xml:space="preserve">Description of the mechanisms used to protect firmware integrity and authenticity
</t>
    </r>
    <r>
      <rPr>
        <i/>
        <sz val="11"/>
        <color theme="2"/>
        <rFont val="Leelawadee UI"/>
        <family val="2"/>
        <scheme val="minor"/>
      </rPr>
      <t>Free Text</t>
    </r>
  </si>
  <si>
    <r>
      <rPr>
        <b/>
        <sz val="11"/>
        <color theme="1"/>
        <rFont val="Leelawadee UI"/>
        <family val="2"/>
        <scheme val="minor"/>
      </rPr>
      <t>E.Info.SUM-3.SUM.Automation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</si>
  <si>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the firmware installation mechanisms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</si>
  <si>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ID of each asset from the Assets tab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</si>
  <si>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Network, security, privacy, or financial asset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</si>
  <si>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Decision node
</t>
    </r>
    <r>
      <rPr>
        <i/>
        <sz val="11"/>
        <color theme="2"/>
        <rFont val="Leelawadee UI"/>
        <family val="2"/>
        <scheme val="minor"/>
      </rPr>
      <t>Dropdown menu / Copy from E.DT template</t>
    </r>
  </si>
  <si>
    <r>
      <rPr>
        <b/>
        <sz val="11"/>
        <color theme="1"/>
        <rFont val="Leelawadee UI"/>
        <family val="2"/>
        <scheme val="minor"/>
      </rPr>
      <t xml:space="preserve">E.Info.ACM-*.*Asset, E.Info.SSM-*.*Asset, E.Info.SCM-*.*Asset, E.Info.DLM-1.*Asset, E.Info.UNM-1.*Asset, E.Info.GEC-1.*Asset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</si>
  <si>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each asset accessible by entity
</t>
    </r>
    <r>
      <rPr>
        <i/>
        <sz val="11"/>
        <color theme="2"/>
        <rFont val="Leelawadee UI"/>
        <family val="2"/>
        <scheme val="minor"/>
      </rPr>
      <t>Autofill</t>
    </r>
  </si>
  <si>
    <r>
      <rPr>
        <b/>
        <sz val="11"/>
        <rFont val="Leelawadee UI"/>
        <family val="2"/>
        <scheme val="minor"/>
      </rPr>
      <t xml:space="preserve">E.Info.ACM-1.*Asset.Access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</si>
  <si>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entities that can potentially access the asset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</si>
  <si>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E.Info.ACM-3.PrivacyAsset.TrustedSources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</si>
  <si>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List of authorized entities providing content for children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</si>
  <si>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E.Info.ACM-4.AuthorisedAccess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</si>
  <si>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Is the security or privacy asset accessible by children?
</t>
    </r>
    <r>
      <rPr>
        <i/>
        <sz val="11"/>
        <color theme="2"/>
        <rFont val="Leelawadee UI"/>
        <family val="2"/>
        <scheme val="minor"/>
      </rPr>
      <t>Dropdown me,u</t>
    </r>
  </si>
  <si>
    <r>
      <t xml:space="preserve">Is the security or privacy asset accessible by anyone else than children or their guardian?
</t>
    </r>
    <r>
      <rPr>
        <i/>
        <sz val="11"/>
        <color theme="2"/>
        <rFont val="Leelawadee UI"/>
        <family val="2"/>
        <scheme val="minor"/>
      </rPr>
      <t>Dropdown me,u</t>
    </r>
  </si>
  <si>
    <r>
      <t xml:space="preserve">Interfaces with a managed access to the asset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</si>
  <si>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Type of interfaces with a managed access to the asset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</si>
  <si>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interfaces with a managed access to the asset
</t>
    </r>
    <r>
      <rPr>
        <i/>
        <sz val="11"/>
        <color theme="2"/>
        <rFont val="Leelawadee UI"/>
        <family val="2"/>
        <scheme val="minor"/>
      </rPr>
      <t>Free Text / Copy-paste from the Interfaces tab.</t>
    </r>
  </si>
  <si>
    <r>
      <rPr>
        <b/>
        <sz val="11"/>
        <rFont val="Leelawadee UI"/>
        <family val="2"/>
        <scheme val="minor"/>
      </rPr>
      <t>E.Info.AUM-1-1.ACM.*, E.Info.AUM-1-1.ACM.*, E.Info.AUM-1-3.ACM.*</t>
    </r>
    <r>
      <rPr>
        <sz val="11"/>
        <color theme="8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</si>
  <si>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accesses for each interface with a managed access to the asset
</t>
    </r>
    <r>
      <rPr>
        <i/>
        <sz val="11"/>
        <color theme="2"/>
        <rFont val="Leelawadee UI"/>
        <family val="2"/>
        <scheme val="minor"/>
      </rPr>
      <t>Free Text / Copy-paste from the Interfaces tab.</t>
    </r>
  </si>
  <si>
    <r>
      <t xml:space="preserve">Description of authentication factors used to manage access to the asset
</t>
    </r>
    <r>
      <rPr>
        <i/>
        <sz val="11"/>
        <color theme="2"/>
        <rFont val="Leelawadee UI"/>
        <family val="2"/>
        <scheme val="minor"/>
      </rPr>
      <t>Free Text</t>
    </r>
  </si>
  <si>
    <r>
      <rPr>
        <b/>
        <sz val="11"/>
        <rFont val="Leelawadee UI"/>
        <family val="2"/>
        <scheme val="minor"/>
      </rPr>
      <t>E.Info.AUM-*.AUM, E.Info.AUM-3.AUM.AuthVal, E.Info.AUM-3.AUM.AuthEnv</t>
    </r>
    <r>
      <rPr>
        <sz val="1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</si>
  <si>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authentication mechanism, their validation and the available information about the authenticator in the operational environment of use.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</si>
  <si>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Description of the change of authenticators, or conflicting security goals.
</t>
    </r>
    <r>
      <rPr>
        <i/>
        <sz val="11"/>
        <color theme="2"/>
        <rFont val="Leelawadee UI"/>
        <family val="2"/>
        <scheme val="minor"/>
      </rPr>
      <t>Free Text</t>
    </r>
  </si>
  <si>
    <r>
      <rPr>
        <b/>
        <sz val="11"/>
        <color theme="1"/>
        <rFont val="Leelawadee UI"/>
        <family val="2"/>
        <scheme val="minor"/>
      </rPr>
      <t>E.Info.AUM-5-1.PwdProperty, E.Info.AUM-5-2.PwdProperty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</si>
  <si>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the password property, if it is unique per equipment, follows best practices, or must be changed at first use. For non-factory passwords, explain how they are defined and/or generated.
</t>
    </r>
    <r>
      <rPr>
        <i/>
        <sz val="11"/>
        <color theme="2"/>
        <rFont val="Leelawadee UI"/>
        <family val="2"/>
        <scheme val="minor"/>
      </rPr>
      <t>Free Text</t>
    </r>
  </si>
  <si>
    <r>
      <rPr>
        <b/>
        <sz val="11"/>
        <color theme="1"/>
        <rFont val="Leelawadee UI"/>
        <family val="2"/>
        <scheme val="minor"/>
      </rPr>
      <t xml:space="preserve">E.Info.AUM-6.AUM.BFProtection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</si>
  <si>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brute force mechanisms such as time delay, limited number of attempts, authenticator complexity or other methods.
</t>
    </r>
    <r>
      <rPr>
        <i/>
        <sz val="11"/>
        <color theme="2"/>
        <rFont val="Leelawadee UI"/>
        <family val="2"/>
        <scheme val="minor"/>
      </rPr>
      <t>Free text / Copy from E.Just.DT.AUM-6</t>
    </r>
  </si>
  <si>
    <r>
      <t xml:space="preserve">Is the asset persistently stored on the equipment?
</t>
    </r>
    <r>
      <rPr>
        <i/>
        <sz val="11"/>
        <color theme="2"/>
        <rFont val="Leelawadee UI"/>
        <family val="2"/>
        <scheme val="minor"/>
      </rPr>
      <t>Autofill</t>
    </r>
  </si>
  <si>
    <r>
      <rPr>
        <b/>
        <sz val="11"/>
        <color theme="1"/>
        <rFont val="Leelawadee UI"/>
        <family val="2"/>
        <scheme val="minor"/>
      </rPr>
      <t>E.Info.SSM-1.*Asset.SSM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</si>
  <si>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the required secure storage mechanisms.
</t>
    </r>
    <r>
      <rPr>
        <i/>
        <sz val="11"/>
        <color theme="2"/>
        <rFont val="Leelawadee UI"/>
        <family val="2"/>
        <scheme val="minor"/>
      </rPr>
      <t>Free text / Copy from E.Just.DT.SSM-1</t>
    </r>
  </si>
  <si>
    <r>
      <rPr>
        <b/>
        <sz val="11"/>
        <color theme="1"/>
        <rFont val="Leelawadee UI"/>
        <family val="2"/>
        <scheme val="minor"/>
      </rPr>
      <t>E.Info.SSM-2.SSM.DigitalSignature, E.Info.SSM-2.SSM.AccessControl, E.Info.SSM-2.SSM.OTProgrammable, E.Info.SSM-2.SSM.HardwareProtection, E.Info.SSM-2.SSM.Generic, E.Info.SSM-2.SSM.ComplianceEvidence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Autofill</t>
    </r>
  </si>
  <si>
    <r>
      <rPr>
        <b/>
        <sz val="11"/>
        <color theme="1"/>
        <rFont val="Leelawadee UI"/>
        <family val="2"/>
        <scheme val="minor"/>
      </rPr>
      <t>IC.SSM-2.DigitalSignature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Dropdown menu</t>
    </r>
  </si>
  <si>
    <r>
      <rPr>
        <b/>
        <sz val="11"/>
        <color theme="1"/>
        <rFont val="Leelawadee UI"/>
        <family val="2"/>
        <scheme val="minor"/>
      </rPr>
      <t>IC.SSM-2.AccessControl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Dropdown menu</t>
    </r>
  </si>
  <si>
    <r>
      <rPr>
        <b/>
        <sz val="11"/>
        <color theme="1"/>
        <rFont val="Leelawadee UI"/>
        <family val="2"/>
        <scheme val="minor"/>
      </rPr>
      <t>IC.SSM-2.OTProgrammable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Dropdown menu</t>
    </r>
  </si>
  <si>
    <r>
      <rPr>
        <b/>
        <sz val="11"/>
        <color theme="1"/>
        <rFont val="Leelawadee UI"/>
        <family val="2"/>
        <scheme val="minor"/>
      </rPr>
      <t>IC.SSM-2.HardwareProtection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Dropdown menu</t>
    </r>
  </si>
  <si>
    <r>
      <t xml:space="preserve">Description of the integrity protection mechanism
</t>
    </r>
    <r>
      <rPr>
        <i/>
        <sz val="11"/>
        <color theme="2"/>
        <rFont val="Leelawadee UI"/>
        <family val="2"/>
        <scheme val="minor"/>
      </rPr>
      <t>Free text / Copy from E.Just.DT.SSM-2</t>
    </r>
  </si>
  <si>
    <r>
      <rPr>
        <b/>
        <sz val="11"/>
        <color theme="1"/>
        <rFont val="Leelawadee UI"/>
        <family val="2"/>
        <scheme val="minor"/>
      </rPr>
      <t>E.Info.SSM-3.SSM.Encryption, E.Info.SSM-3.SSM.AccessControl, E.Info.SSM-3.SSM.HardwareProtection, E.Info.SSM-3.SSM.Generic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Autofill</t>
    </r>
  </si>
  <si>
    <r>
      <rPr>
        <b/>
        <sz val="11"/>
        <color theme="1"/>
        <rFont val="Leelawadee UI"/>
        <family val="2"/>
        <scheme val="minor"/>
      </rPr>
      <t xml:space="preserve">IC.SSM-3.Encryption
</t>
    </r>
    <r>
      <rPr>
        <i/>
        <sz val="11"/>
        <color theme="2"/>
        <rFont val="Leelawadee UI"/>
        <family val="2"/>
        <scheme val="minor"/>
      </rPr>
      <t>Dropdown menu</t>
    </r>
  </si>
  <si>
    <r>
      <rPr>
        <b/>
        <sz val="11"/>
        <color theme="1"/>
        <rFont val="Leelawadee UI"/>
        <family val="2"/>
        <scheme val="minor"/>
      </rPr>
      <t>IC.SSM-3.AccessControl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Dropdown menu</t>
    </r>
  </si>
  <si>
    <r>
      <rPr>
        <b/>
        <sz val="11"/>
        <color theme="1"/>
        <rFont val="Leelawadee UI"/>
        <family val="2"/>
        <scheme val="minor"/>
      </rPr>
      <t>IC.SSM-3.HardwareProtection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Dropdown menu</t>
    </r>
  </si>
  <si>
    <r>
      <t xml:space="preserve">Is the asset communicated via a network interface?
</t>
    </r>
    <r>
      <rPr>
        <i/>
        <sz val="11"/>
        <color theme="2"/>
        <rFont val="Leelawadee UI"/>
        <family val="2"/>
        <scheme val="minor"/>
      </rPr>
      <t>Autofill</t>
    </r>
  </si>
  <si>
    <r>
      <t>Associated network interfaces</t>
    </r>
    <r>
      <rPr>
        <b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Autofill</t>
    </r>
  </si>
  <si>
    <r>
      <rPr>
        <i/>
        <sz val="11"/>
        <rFont val="Leelawadee UI"/>
        <family val="2"/>
        <scheme val="minor"/>
      </rPr>
      <t xml:space="preserve">The type of the network interface (radio / wired / optical / acoustic)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</si>
  <si>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the network interface, associated protocol(s) and configuration options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</si>
  <si>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Description of how and when the asset is communicated and for which purpose.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</si>
  <si>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Description of additional measures to authenticate the connection or trust relationship.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</si>
  <si>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Description of when the equipment communicates the assets, associated threats and risks, and potential connection management mechanisms.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</si>
  <si>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E.Info.SCM-2.SCM.Capabilities, E.Info.SCM-2.SCM.ManufSecret, E.Info.SCM-2.SCM.SecChanExchange, E.Info.SCM-2.SCM.PKI-Based, E.Info.SCM-2.SCM.ThirdPartyTrust, E.Info.SCM-2.SCM.Generic, E.Info.SCM-2.SCM.ImplDetail, E.Info.SCM-2.SCM.CCK, E.Info.SCM-2.SCM.ThreatProtection
</t>
    </r>
    <r>
      <rPr>
        <i/>
        <sz val="11"/>
        <color theme="2"/>
        <rFont val="Leelawadee UI"/>
        <family val="2"/>
        <scheme val="minor"/>
      </rPr>
      <t>Autofill</t>
    </r>
  </si>
  <si>
    <r>
      <rPr>
        <b/>
        <sz val="11"/>
        <color theme="1"/>
        <rFont val="Leelawadee UI"/>
        <family val="2"/>
        <scheme val="minor"/>
      </rPr>
      <t>IC.SCM-2.ManufSecret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Dropdown menu</t>
    </r>
  </si>
  <si>
    <r>
      <rPr>
        <b/>
        <sz val="11"/>
        <color theme="1"/>
        <rFont val="Leelawadee UI"/>
        <family val="2"/>
        <scheme val="minor"/>
      </rPr>
      <t xml:space="preserve">IC.SCM-2.SecChanExchange
</t>
    </r>
    <r>
      <rPr>
        <i/>
        <sz val="11"/>
        <color theme="2"/>
        <rFont val="Leelawadee UI"/>
        <family val="2"/>
        <scheme val="minor"/>
      </rPr>
      <t>Dropdown menu</t>
    </r>
  </si>
  <si>
    <r>
      <rPr>
        <b/>
        <sz val="11"/>
        <color theme="1"/>
        <rFont val="Leelawadee UI"/>
        <family val="2"/>
        <scheme val="minor"/>
      </rPr>
      <t>IC.SCM-2.PKI-based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Dropdown menu</t>
    </r>
  </si>
  <si>
    <r>
      <rPr>
        <b/>
        <sz val="11"/>
        <color theme="1"/>
        <rFont val="Leelawadee UI"/>
        <family val="2"/>
        <scheme val="minor"/>
      </rPr>
      <t>IC.SCM-2.ThirdPartyTrust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Dropdown menu</t>
    </r>
  </si>
  <si>
    <r>
      <t xml:space="preserve">Description of the integrity protection mechanism, including cryptographic schemes used and threats addressed, in particular spoofing and tampering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</si>
  <si>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E.Info.SCM-3.SCM.Capabilities, E.Info.SCM-3.SCM.MessageEnc, E.Info.SCM-3.SCM.ChannelEnc, E.Info.SCM-3.SCM.Generic, E.Info.SCM-3.SCM.ImplDetail, E.Info.SCM-3.SCM.CCK, E.Info.SCM-3.SCM.ThreatProtection
</t>
    </r>
    <r>
      <rPr>
        <i/>
        <sz val="11"/>
        <color theme="2"/>
        <rFont val="Leelawadee UI"/>
        <family val="2"/>
        <scheme val="minor"/>
      </rPr>
      <t>Autofill</t>
    </r>
  </si>
  <si>
    <r>
      <rPr>
        <b/>
        <sz val="11"/>
        <color theme="1"/>
        <rFont val="Leelawadee UI"/>
        <family val="2"/>
        <scheme val="minor"/>
      </rPr>
      <t>IC.SCM-3.MessageEnc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Dropdown menu</t>
    </r>
  </si>
  <si>
    <r>
      <rPr>
        <b/>
        <sz val="11"/>
        <color theme="1"/>
        <rFont val="Leelawadee UI"/>
        <family val="2"/>
        <scheme val="minor"/>
      </rPr>
      <t xml:space="preserve">IC.SCM-3.ChannelEnc
</t>
    </r>
    <r>
      <rPr>
        <i/>
        <sz val="11"/>
        <color theme="2"/>
        <rFont val="Leelawadee UI"/>
        <family val="2"/>
        <scheme val="minor"/>
      </rPr>
      <t>Dropdown menu</t>
    </r>
  </si>
  <si>
    <r>
      <t xml:space="preserve">Description of the confidentiality protection mechanism, including cryptographic schemes used and threats addressed, in particular information disclosure and elevation of privilege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</si>
  <si>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E.Info.SCM-4.SCM.Capabilities, E.Info.SCM-4.SCM.SeqNumb, E.Info.SCM-4.SCM.TimeStamp, E.Info.SCM-4.SCM.OneTimeEncKey, E.Info.SCM-4.SCM.Generic, E.Info.SCM-4.SCM.ImplDetail, E.Info.SCM-4.SCM.Repudiation
</t>
    </r>
    <r>
      <rPr>
        <i/>
        <sz val="11"/>
        <color theme="2"/>
        <rFont val="Leelawadee UI"/>
        <family val="2"/>
        <scheme val="minor"/>
      </rPr>
      <t>Autofill</t>
    </r>
  </si>
  <si>
    <r>
      <rPr>
        <b/>
        <sz val="11"/>
        <color theme="1"/>
        <rFont val="Leelawadee UI"/>
        <family val="2"/>
        <scheme val="minor"/>
      </rPr>
      <t>IC.SCM-4.SeqNumb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Dropdown menu</t>
    </r>
  </si>
  <si>
    <r>
      <rPr>
        <b/>
        <sz val="11"/>
        <color theme="1"/>
        <rFont val="Leelawadee UI"/>
        <family val="2"/>
        <scheme val="minor"/>
      </rPr>
      <t xml:space="preserve">IC.SCM-4.TimeStamp
</t>
    </r>
    <r>
      <rPr>
        <i/>
        <sz val="11"/>
        <color theme="2"/>
        <rFont val="Leelawadee UI"/>
        <family val="2"/>
        <scheme val="minor"/>
      </rPr>
      <t>Dropdown menu</t>
    </r>
  </si>
  <si>
    <r>
      <rPr>
        <b/>
        <sz val="11"/>
        <color theme="1"/>
        <rFont val="Leelawadee UI"/>
        <family val="2"/>
        <scheme val="minor"/>
      </rPr>
      <t>IC.SCM-4.OneTimeEncKey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Dropdown menu</t>
    </r>
  </si>
  <si>
    <r>
      <t xml:space="preserve">Description of the anti-replay mechanism, including cryptographic schemes used and threats addressed, in particular repudiation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</si>
  <si>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E.Info.DLM-1.DLM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</si>
  <si>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data deletion mechanisms, including the entity that can delete it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</si>
  <si>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E.Info.UNM-1.PersonalInformation.UseCase, E.Info.UNM-1.PersonalInformation.UseCase.Notification, E.Info.UNM-1.PersonalInformation.UseCase.OtherInfo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</si>
  <si>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use cases affecting the protection of personal information, of user notification including where it does not involve the equipment, and of the content of the notification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</si>
  <si>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Is the asset a confidential cryptographic key?
</t>
    </r>
    <r>
      <rPr>
        <i/>
        <sz val="11"/>
        <color theme="2"/>
        <rFont val="Leelawadee UI"/>
        <family val="2"/>
        <scheme val="minor"/>
      </rPr>
      <t>Autofill</t>
    </r>
  </si>
  <si>
    <r>
      <rPr>
        <b/>
        <sz val="11"/>
        <color theme="1"/>
        <rFont val="Leelawadee UI"/>
        <family val="2"/>
        <scheme val="minor"/>
      </rPr>
      <t>CCK-1.CCK, CCK-1.CCK.Deviation, CCK-1.CCK.SecurityStrength</t>
    </r>
    <r>
      <rPr>
        <i/>
        <sz val="11"/>
        <color theme="1"/>
        <rFont val="Leelawadee UI"/>
        <family val="2"/>
        <scheme val="minor"/>
      </rPr>
      <t xml:space="preserve">
Autofill</t>
    </r>
  </si>
  <si>
    <r>
      <t xml:space="preserve">Cryptographic algorithm and implementation, key length, security strength and deviation from best practices if applicable
</t>
    </r>
    <r>
      <rPr>
        <i/>
        <sz val="11"/>
        <color theme="2"/>
        <rFont val="Leelawadee UI"/>
        <family val="2"/>
        <scheme val="minor"/>
      </rPr>
      <t>Free text</t>
    </r>
    <r>
      <rPr>
        <i/>
        <sz val="11"/>
        <color theme="1"/>
        <rFont val="Leelawadee UI"/>
        <family val="2"/>
        <scheme val="minor"/>
      </rPr>
      <t xml:space="preserve"> or</t>
    </r>
  </si>
  <si>
    <r>
      <rPr>
        <b/>
        <sz val="11"/>
        <color theme="1"/>
        <rFont val="Leelawadee UI"/>
        <family val="2"/>
        <scheme val="minor"/>
      </rPr>
      <t>CCK-2.Generation, CCK-2.Generation.CCK, CCK-2.Generation.RNSource, CCK-2.Generation.RNG, CCK-2.Generation.Implementation, CCK-2.Generation.Deviation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Autofill</t>
    </r>
  </si>
  <si>
    <r>
      <rPr>
        <b/>
        <sz val="11"/>
        <color theme="1"/>
        <rFont val="Leelawadee UI"/>
        <family val="2"/>
        <scheme val="minor"/>
      </rPr>
      <t>CCK-3.CCK.Unique, CCK-3.CCK.Shared, CCK-3.CCK.Controlled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</si>
  <si>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the properties of the key, if it is unique per equipment, shared or controlled by a trust relationship
</t>
    </r>
    <r>
      <rPr>
        <i/>
        <sz val="11"/>
        <color theme="2"/>
        <rFont val="Leelawadee UI"/>
        <family val="2"/>
        <scheme val="minor"/>
      </rPr>
      <t>Free text</t>
    </r>
  </si>
  <si>
    <r>
      <rPr>
        <b/>
        <sz val="11"/>
        <rFont val="Leelawadee UI"/>
        <family val="2"/>
        <scheme val="minor"/>
      </rPr>
      <t>E.Info.ACM-1.*Asset.PublicAccess, E.Info.ACM-1.*Asset.Environment, E.Info.ACM-1.*Asset.Legal, E.Info.ACM-*.*Asset.ACM, E.Info.AUM-1-*.ACM, E.Info.SSM-1.*Asset.Environment, E.Info.SCM-1.*Asset.Environment</t>
    </r>
    <r>
      <rPr>
        <i/>
        <sz val="11"/>
        <color theme="8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Autofill</t>
    </r>
  </si>
  <si>
    <r>
      <rPr>
        <b/>
        <sz val="11"/>
        <rFont val="Leelawadee UI"/>
        <family val="2"/>
        <scheme val="minor"/>
      </rPr>
      <t>E.Info.AUM-1-1.ACM.NetworkInterface, E.Info.AUM-1-2.ACM.UserInterface, E.Info.AUM-1-3.ACM.MachineInterface</t>
    </r>
    <r>
      <rPr>
        <sz val="11"/>
        <color theme="8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Autofill</t>
    </r>
  </si>
  <si>
    <r>
      <rPr>
        <b/>
        <sz val="11"/>
        <color theme="1"/>
        <rFont val="Leelawadee UI"/>
        <family val="2"/>
        <scheme val="minor"/>
      </rPr>
      <t xml:space="preserve">E.Info.SCM-*.NetworkInterface, E.Info.SCM-*.NetworkInterface.*Asset, E.Info.SCM-1.Interface.Wired, E.Info.SCM-1.Interface.Radio, E.Info.SCM-1.Interface.Optical, E.Info.SCM-1.Interface.Acoustic, E.Info.SCM-1.Interface.Protocol, E.Info.SCM-*.NetworkInterface.Protocol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</si>
  <si>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E.Info.SCM-1.*Asset.Class, E.Info.SCM-1.*Asset.Com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</si>
  <si>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E.Info.SCM-1.*Assets.AddMeasures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</si>
  <si>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E.Info.SCM-1.SCM.States, E.Info.SCM-1.SCM.SecObjectives, E.Info.SCM-1.SCM.Manage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</si>
  <si>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your implementation / context of use justifying the requirement for Access Control.
</t>
    </r>
    <r>
      <rPr>
        <i/>
        <sz val="11"/>
        <color theme="2"/>
        <rFont val="Leelawadee UI"/>
        <family val="2"/>
        <scheme val="minor"/>
      </rPr>
      <t>Free Text / Copy of E.Just.DT</t>
    </r>
  </si>
  <si>
    <r>
      <t xml:space="preserve">Detailed description of the methods used for CCK generation and deviation from best practices if applicable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</si>
  <si>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ID of each network interface from the E.Info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</si>
  <si>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E.Info.RLM-1.NetworkInterfaces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</si>
  <si>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the network interface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</si>
  <si>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E.Info.RLM-1.RLM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</si>
  <si>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the resilience mechanism or justification of its lack of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</si>
  <si>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E.Info.NMM-1.NMM, E.Info.NMM-1.NMM.NetworkEquipment, E.Info.NMM-1.NMM.GTPFiltering, E.Info.NMM-1.NMM.IPPacketFiltering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</si>
  <si>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the risks to the network interface and of network monitoring mechanism or justification of its lack of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</si>
  <si>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E.Info.TCM-1.TCM, E.Info.TCM-1.TCM.NetworkEquipment, E.Info.TCM-1.TCM.GTPFiltering, E.Info.TCM-1.TCM.IPPacketFiltering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</si>
  <si>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the risks to the network interface and of traffic control mechanism or justification of its lack of
</t>
    </r>
    <r>
      <rPr>
        <i/>
        <sz val="11"/>
        <color theme="2"/>
        <rFont val="Leelawadee UI"/>
        <family val="2"/>
        <scheme val="minor"/>
      </rPr>
      <t>Free text</t>
    </r>
  </si>
  <si>
    <t>E.Info LGM</t>
  </si>
  <si>
    <t>E.Info RLM-NMM-TCM</t>
  </si>
  <si>
    <t>E.Info SUM</t>
  </si>
  <si>
    <t>E.Info ACM-AUM-SSM-SCM-DLM-CCK</t>
  </si>
  <si>
    <t>E.Info GEC-1</t>
  </si>
  <si>
    <r>
      <t xml:space="preserve">Software or hardware component
</t>
    </r>
    <r>
      <rPr>
        <i/>
        <sz val="10"/>
        <color theme="2"/>
        <rFont val="Leelawadee UI"/>
        <family val="2"/>
        <scheme val="minor"/>
      </rPr>
      <t>Free text</t>
    </r>
  </si>
  <si>
    <r>
      <t xml:space="preserve">Software or hardware?
</t>
    </r>
    <r>
      <rPr>
        <i/>
        <sz val="10"/>
        <color theme="2"/>
        <rFont val="Leelawadee UI"/>
        <family val="2"/>
        <scheme val="minor"/>
      </rPr>
      <t>Dropdown menu</t>
    </r>
  </si>
  <si>
    <r>
      <t xml:space="preserve">E.Info.GEC-1.SoftwareDocumentation
</t>
    </r>
    <r>
      <rPr>
        <i/>
        <sz val="10"/>
        <color theme="2"/>
        <rFont val="Leelawadee UI"/>
        <family val="2"/>
        <scheme val="minor"/>
      </rPr>
      <t>Autofill</t>
    </r>
  </si>
  <si>
    <r>
      <t xml:space="preserve">Description and version of the component
</t>
    </r>
    <r>
      <rPr>
        <i/>
        <sz val="10"/>
        <color theme="2"/>
        <rFont val="Leelawadee UI"/>
        <family val="2"/>
        <scheme val="minor"/>
      </rPr>
      <t>Free text</t>
    </r>
  </si>
  <si>
    <r>
      <t xml:space="preserve">List of assets affected by the vulnerability. If not sure, it is possible to write ALL.
</t>
    </r>
    <r>
      <rPr>
        <i/>
        <sz val="10"/>
        <color theme="2"/>
        <rFont val="Leelawadee UI"/>
        <family val="2"/>
        <scheme val="minor"/>
      </rPr>
      <t>Free text, reference to Assets ID</t>
    </r>
  </si>
  <si>
    <r>
      <t xml:space="preserve">E.Info.GEC-1.ListOfVulnerabilities, E.Info.GEC-1.ListOfVulnerabilities.Remediated, E.Info.GEC-1.SpecificConditions, E.Info.GEC-1.ListOfVulnerabilities.Mitigated, E.Info.GEC-1.ListOfVulnerabilities.Accepted
</t>
    </r>
    <r>
      <rPr>
        <i/>
        <sz val="10"/>
        <color theme="2"/>
        <rFont val="Leelawadee UI"/>
        <family val="2"/>
        <scheme val="minor"/>
      </rPr>
      <t>Autofill</t>
    </r>
  </si>
  <si>
    <r>
      <t xml:space="preserve">Description of publicly known exploitable vulnerabilities (for example, list of CVEs from CVEDetails), if any, and the measures in place to reduce associated risks.
</t>
    </r>
    <r>
      <rPr>
        <i/>
        <sz val="10"/>
        <color theme="2"/>
        <rFont val="Leelawadee UI"/>
        <family val="2"/>
        <scheme val="minor"/>
      </rPr>
      <t>Free text</t>
    </r>
  </si>
  <si>
    <r>
      <t xml:space="preserve">ID of each  event from the E.Info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</si>
  <si>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E.Info.LGM-1.PrivacyAssetEvent, E.Info.LGM-1.PrivacyAssetEvent.Legal, E.Info.LGM-1.PrivacyAssetEvent.LGM, E.Info.LGM-2.LGM, E.Info.LGM-3.Events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</si>
  <si>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logged data and associated logging mechanisms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</si>
  <si>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E.Info.LGM-2.InternalStorage, E.Info.LGM-2.ExternalStorage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</si>
  <si>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storage mechanisms for logging events, internal or external to the equipment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</si>
  <si>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E.Info.LGM-3.Quantity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</si>
  <si>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minimum number of the latest events stored in the equipment, and where they are stored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</si>
  <si>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E.Info.LGM-4.Timestamp, E.Info.LGM-4.TimeRelated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</si>
  <si>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time-related information for logging events
</t>
    </r>
    <r>
      <rPr>
        <i/>
        <sz val="11"/>
        <color theme="2"/>
        <rFont val="Leelawadee UI"/>
        <family val="2"/>
        <scheme val="minor"/>
      </rPr>
      <t>Free text</t>
    </r>
  </si>
  <si>
    <t>E.Info GEC-2-7</t>
  </si>
  <si>
    <r>
      <t xml:space="preserve">E.Info.GEC-2.NetworkInterface.Exposure, E.Info.GEC-3.NetworkInterface.Exposure,
E.Info.GEC-4.NetworkInterface.Exposure
</t>
    </r>
    <r>
      <rPr>
        <i/>
        <sz val="11"/>
        <color theme="2"/>
        <rFont val="Leelawadee UI"/>
        <family val="2"/>
        <scheme val="minor"/>
      </rPr>
      <t>Autofill</t>
    </r>
  </si>
  <si>
    <r>
      <rPr>
        <i/>
        <sz val="11"/>
        <rFont val="Leelawadee UI"/>
        <family val="2"/>
        <scheme val="minor"/>
      </rPr>
      <t>Assets accessible from this interface</t>
    </r>
    <r>
      <rPr>
        <i/>
        <sz val="11"/>
        <color theme="2"/>
        <rFont val="Leelawadee UI"/>
        <family val="2"/>
        <scheme val="minor"/>
      </rPr>
      <t xml:space="preserve">
Autofill</t>
    </r>
  </si>
  <si>
    <r>
      <t xml:space="preserve">E.Info.GEC-2.NetworkInterface.Exposure, E.Info.GEC-2.Setup, E.Info.GEC-3.NetworkInterface.Exposure,
E.Info.GEC-4.NetworkInterface.Exposure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</si>
  <si>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each network interface and exposed service including information about whether it is required or optional, and how to enable/disable it when optional.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</si>
  <si>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E.Info.GEC-4.UserDoc.NetworkInterface.Exposure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</si>
  <si>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User documentation of exposed network interfaces and exposed services (via network interfaces) in factory default.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</si>
  <si>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E.Info.GEC-5.PhysicalExternalInterface, E.Info.GEC-5.PhysicalExternalInterface.Purpose, E.Info.GEC-5.PhysicalExternalInterface.Type, E.Info.GEC-5.IntFunc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</si>
  <si>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the physical external interface, its purpose and type and how it relates to the intended functionality of the equipment.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</si>
  <si>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E.Info.GEC-6.ExternalInterface, E.Info.GEC-6.ExternalInterface.Capabilities, E.Info.GEC-6.ExternalInterface.Validation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</si>
  <si>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the interface capabilities and how input validation is done.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</si>
  <si>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E.Info.GEC-7.NonNetworkInterface, E.Info.GEC-7.UserDoc.NonNetworkInterface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</si>
  <si>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the interface capable of affecting user privacy and associated documentation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</si>
  <si>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List of software parts processing financial assets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</si>
  <si>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E.Info.GEC-8.PartOfSoftw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</si>
  <si>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E.Info.GEC-8.BootProcess, E.Info.GEC-8.BootProcess.TrustAnchor, E.Info.GEC-8.BootProcess.SecMech, E.Info.GEC-8.BootProcess.Modes
</t>
    </r>
    <r>
      <rPr>
        <i/>
        <sz val="11"/>
        <color theme="2"/>
        <rFont val="Leelawadee UI"/>
        <family val="2"/>
        <scheme val="minor"/>
      </rPr>
      <t>Autofill</t>
    </r>
  </si>
  <si>
    <t>E.Info GEC-8</t>
  </si>
  <si>
    <r>
      <rPr>
        <i/>
        <sz val="11"/>
        <rFont val="Leelawadee UI"/>
        <family val="2"/>
        <scheme val="minor"/>
      </rPr>
      <t>Description of the integrity protection mechanisms for this software part, if any</t>
    </r>
    <r>
      <rPr>
        <i/>
        <sz val="11"/>
        <color theme="2"/>
        <rFont val="Leelawadee UI"/>
        <family val="2"/>
        <scheme val="minor"/>
      </rPr>
      <t xml:space="preserve">
Free text</t>
    </r>
  </si>
  <si>
    <t>E.Info CRY</t>
  </si>
  <si>
    <r>
      <t xml:space="preserve">ID of each cryptographic scheme from the E.Info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</si>
  <si>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E.Info.CRY-1.Assets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</si>
  <si>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ID of each asset using this cryptography
</t>
    </r>
    <r>
      <rPr>
        <i/>
        <sz val="11"/>
        <color theme="2"/>
        <rFont val="Leelawadee UI"/>
        <family val="2"/>
        <scheme val="minor"/>
      </rPr>
      <t>Free text, reference to Asset IDs</t>
    </r>
  </si>
  <si>
    <r>
      <t xml:space="preserve">E.Info.CRY-1.Assets.Cryptography, E.Info.CRY-1.Assets.Crytpography.Deviation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</si>
  <si>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Cryptographic algorithm, security goals, evidence of best practice or deviation from best practices if applicable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</si>
  <si>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Is it a CONFIDENTIAL (= secret) cryptographic key?
</t>
    </r>
    <r>
      <rPr>
        <i/>
        <sz val="11"/>
        <color theme="2"/>
        <rFont val="Leelawadee UI"/>
        <family val="2"/>
        <scheme val="minor"/>
      </rPr>
      <t>Dropdown menu. If yes, [CCK] is applicable</t>
    </r>
  </si>
  <si>
    <r>
      <t xml:space="preserve">Is it accessible/sent via a network?
</t>
    </r>
    <r>
      <rPr>
        <i/>
        <sz val="11"/>
        <color theme="2"/>
        <rFont val="Leelawadee UI"/>
        <family val="2"/>
        <scheme val="minor"/>
      </rPr>
      <t>Dropdown menu. If yes, [SCM] is applicable</t>
    </r>
  </si>
  <si>
    <r>
      <t xml:space="preserve">Is it stored persistently on the equipment?
</t>
    </r>
    <r>
      <rPr>
        <i/>
        <sz val="11"/>
        <color theme="2"/>
        <rFont val="Leelawadee UI"/>
        <family val="2"/>
        <scheme val="minor"/>
      </rPr>
      <t>Dropdown menu. If yes, [SSM] is applicable</t>
    </r>
  </si>
  <si>
    <r>
      <t xml:space="preserve">Is there any cryptography used in the asset or to protect the asset?
</t>
    </r>
    <r>
      <rPr>
        <i/>
        <sz val="11"/>
        <color theme="2"/>
        <rFont val="Leelawadee UI"/>
        <family val="2"/>
        <scheme val="minor"/>
      </rPr>
      <t>Dropdown meny. If yes, [CRY] is applicable</t>
    </r>
  </si>
  <si>
    <t>Mark "x" (for example) where an asset is accessible via an interface</t>
  </si>
  <si>
    <t>Autofill from Assets tab</t>
  </si>
  <si>
    <t>Assets x Entities</t>
  </si>
  <si>
    <t>Mark "x" (for example) where an asset is accessible by an entity</t>
  </si>
  <si>
    <t>Mark "x" (for example) where an interface is accessible by an entity</t>
  </si>
  <si>
    <t>Document identifier: cetome REDact - E.Info v1.0 (2026-01-30)</t>
  </si>
  <si>
    <t>Use this document to complete the different E.Info and document the implementation of EN 18031 security mechanisms in your equipment.</t>
  </si>
  <si>
    <t>When using the harmonised standard EN 18031, E.Info provides evidence on the applicable security mechanisms. This is the basis of the compliance assessment.</t>
  </si>
  <si>
    <t>We recommend completing the E.DT and E.Just template first.</t>
  </si>
  <si>
    <t>cetome REDact (RED Assistant for Compliance Toolkit) E.Info template</t>
  </si>
  <si>
    <t>Do the same for "Interfaces" and for "Entities" in their respective tabs.</t>
  </si>
  <si>
    <t>In the "Mapping_*" tabs, select how assets, entities and interfaces interact. This is important to comply with the requirements of EN 18031.</t>
  </si>
  <si>
    <t>Doing this will contribute to identifying the relevant E.Info.</t>
  </si>
  <si>
    <t>When necessary, enter or copy the information from the E.DT.</t>
  </si>
  <si>
    <t>Finally, complete the E.Info tabs. Most of the information is automatically filled, you only need to complete information where the header is coloured on both rows.</t>
  </si>
  <si>
    <t>Note that completing this work can take some time when doing it alone, even when consulting product teams.</t>
  </si>
  <si>
    <t>When relying on an external test lab for your security assessment, you can send them this document.</t>
  </si>
  <si>
    <t>If you are a test lab, feel free to reintegrate our approach in your template.</t>
  </si>
  <si>
    <t>cetome offers services to support manufacturers, review inputs or even write E.Info. Especially if you have never done it before, it's faster and cheaper.</t>
  </si>
  <si>
    <r>
      <t xml:space="preserve">ID of each equipment capability from the E.Info
</t>
    </r>
    <r>
      <rPr>
        <i/>
        <sz val="11"/>
        <color theme="2"/>
        <rFont val="Leelawadee UI"/>
        <family val="2"/>
        <scheme val="minor"/>
      </rPr>
      <t>Autofill</t>
    </r>
  </si>
  <si>
    <r>
      <t xml:space="preserve">Description of the boot process that cryptographically verifies the integrity of software parts, including the use of a hardware root of trust
</t>
    </r>
    <r>
      <rPr>
        <i/>
        <sz val="11"/>
        <color theme="2"/>
        <rFont val="Leelawadee UI"/>
        <family val="2"/>
        <scheme val="minor"/>
      </rPr>
      <t>Free text</t>
    </r>
  </si>
  <si>
    <r>
      <rPr>
        <b/>
        <sz val="11"/>
        <color theme="1"/>
        <rFont val="Leelawadee UI"/>
        <family val="2"/>
        <scheme val="minor"/>
      </rPr>
      <t>E.Info.SCM-1.*Asset.SCM, E.Info.SCM-*.SCM</t>
    </r>
    <r>
      <rPr>
        <i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Autofill</t>
    </r>
  </si>
  <si>
    <t>Asset.SCM, SCM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</si>
</sst>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Leelawadee UI"/>
      <family val="2"/>
      <scheme val="minor"/>
    </font>
    <font>
      <b/>
      <sz val="11"/>
      <color theme="1"/>
      <name val="Leelawadee UI"/>
      <family val="2"/>
      <scheme val="minor"/>
    </font>
    <font>
      <b/>
      <sz val="11"/>
      <color theme="1"/>
      <name val="Gill Sans MT"/>
      <family val="2"/>
      <scheme val="major"/>
    </font>
    <font>
      <sz val="11"/>
      <color theme="1"/>
      <name val="Gill Sans MT"/>
      <family val="2"/>
      <scheme val="major"/>
    </font>
    <font>
      <sz val="11"/>
      <color rgb="FF000000"/>
      <name val="Leelawadee UI"/>
      <family val="2"/>
      <scheme val="minor"/>
    </font>
    <font>
      <b/>
      <sz val="11"/>
      <color rgb="FF000000"/>
      <name val="Leelawadee UI"/>
      <family val="2"/>
      <scheme val="minor"/>
    </font>
    <font>
      <sz val="11"/>
      <name val="Leelawadee UI"/>
      <family val="2"/>
      <scheme val="minor"/>
    </font>
    <font>
      <sz val="8"/>
      <name val="Leelawadee UI"/>
      <family val="2"/>
      <scheme val="minor"/>
    </font>
    <font>
      <sz val="11"/>
      <color rgb="FFFF0000"/>
      <name val="Leelawadee UI"/>
      <family val="2"/>
      <scheme val="minor"/>
    </font>
    <font>
      <i/>
      <sz val="11"/>
      <color theme="1"/>
      <name val="Gill Sans MT"/>
      <family val="2"/>
      <scheme val="major"/>
    </font>
    <font>
      <i/>
      <sz val="11"/>
      <color theme="1"/>
      <name val="Leelawadee UI"/>
      <family val="2"/>
      <scheme val="minor"/>
    </font>
    <font>
      <i/>
      <sz val="11"/>
      <color theme="2"/>
      <name val="Leelawadee UI"/>
      <family val="2"/>
      <scheme val="minor"/>
    </font>
    <font>
      <sz val="12"/>
      <color rgb="FF000000"/>
      <name val="Gill Sans MT"/>
      <family val="2"/>
      <scheme val="major"/>
    </font>
    <font>
      <b/>
      <sz val="11"/>
      <name val="Leelawadee UI"/>
      <family val="2"/>
      <scheme val="minor"/>
    </font>
    <font>
      <sz val="11"/>
      <color theme="1"/>
      <name val="Leelawadee UI"/>
      <family val="2"/>
      <scheme val="minor"/>
    </font>
    <font>
      <b/>
      <sz val="9"/>
      <color rgb="FF000000"/>
      <name val="Leelawadee UI"/>
      <family val="2"/>
      <scheme val="minor"/>
    </font>
    <font>
      <i/>
      <sz val="10"/>
      <color theme="8"/>
      <name val="Leelawadee UI"/>
      <family val="2"/>
      <scheme val="minor"/>
    </font>
    <font>
      <b/>
      <sz val="11"/>
      <name val="Gill Sans MT"/>
      <family val="2"/>
      <scheme val="major"/>
    </font>
    <font>
      <sz val="10"/>
      <color theme="8"/>
      <name val="Leelawadee UI"/>
      <family val="2"/>
      <scheme val="minor"/>
    </font>
    <font>
      <sz val="10"/>
      <name val="Leelawadee UI"/>
      <family val="2"/>
      <scheme val="minor"/>
    </font>
    <font>
      <b/>
      <sz val="11"/>
      <color theme="1"/>
      <name val="Arial"/>
      <family val="2"/>
    </font>
    <font>
      <b/>
      <i/>
      <sz val="11"/>
      <name val="Leelawadee UI"/>
      <family val="2"/>
      <scheme val="minor"/>
    </font>
    <font>
      <i/>
      <sz val="11"/>
      <name val="Leelawadee UI"/>
      <family val="2"/>
      <scheme val="minor"/>
    </font>
    <font>
      <sz val="11"/>
      <color theme="2"/>
      <name val="Leelawadee UI"/>
      <family val="2"/>
      <scheme val="minor"/>
    </font>
    <font>
      <sz val="10"/>
      <color theme="2"/>
      <name val="Leelawadee UI"/>
      <family val="2"/>
      <scheme val="minor"/>
    </font>
    <font>
      <b/>
      <sz val="10"/>
      <color theme="1"/>
      <name val="Leelawadee UI"/>
      <family val="2"/>
      <scheme val="minor"/>
    </font>
    <font>
      <b/>
      <sz val="10"/>
      <color theme="1"/>
      <name val="Gill Sans MT"/>
      <family val="2"/>
      <scheme val="major"/>
    </font>
    <font>
      <b/>
      <sz val="9"/>
      <color theme="1"/>
      <name val="Leelawadee UI"/>
      <family val="2"/>
      <scheme val="minor"/>
    </font>
    <font>
      <sz val="10"/>
      <color theme="1"/>
      <name val="Leelawadee UI"/>
      <family val="2"/>
      <scheme val="minor"/>
    </font>
    <font>
      <b/>
      <sz val="11"/>
      <color theme="0"/>
      <name val="Leelawadee UI"/>
      <family val="2"/>
      <scheme val="minor"/>
    </font>
    <font>
      <sz val="11"/>
      <color theme="0"/>
      <name val="Leelawadee UI"/>
      <family val="2"/>
      <scheme val="minor"/>
    </font>
    <font>
      <i/>
      <sz val="10"/>
      <color theme="1"/>
      <name val="Leelawadee UI"/>
      <family val="2"/>
      <scheme val="minor"/>
    </font>
    <font>
      <i/>
      <sz val="10"/>
      <color theme="2"/>
      <name val="Leelawadee UI"/>
      <family val="2"/>
      <scheme val="minor"/>
    </font>
    <font>
      <i/>
      <sz val="11"/>
      <color theme="8"/>
      <name val="Leelawadee UI"/>
      <family val="2"/>
      <scheme val="minor"/>
    </font>
    <font>
      <b/>
      <sz val="10"/>
      <name val="Leelawadee UI"/>
      <family val="2"/>
      <scheme val="minor"/>
    </font>
    <font>
      <sz val="11"/>
      <color theme="8"/>
      <name val="Leelawadee UI"/>
      <family val="2"/>
      <scheme val="minor"/>
    </font>
    <font>
      <b/>
      <sz val="10"/>
      <color rgb="FF000000"/>
      <name val="Leelawadee UI"/>
      <family val="2"/>
      <scheme val="minor"/>
    </font>
    <font>
      <b/>
      <i/>
      <sz val="11"/>
      <color theme="0"/>
      <name val="Leelawadee U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9.9978637043366805E-2"/>
        <bgColor indexed="64"/>
      </patternFill>
    </fill>
  </fills>
  <borders count="1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theme="2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auto="1"/>
      </left>
      <right style="dotted">
        <color auto="1"/>
      </right>
      <top style="thin">
        <color indexed="64"/>
      </top>
      <bottom/>
      <diagonal/>
    </border>
    <border>
      <left style="dotted">
        <color auto="1"/>
      </left>
      <right/>
      <top style="thin">
        <color indexed="64"/>
      </top>
      <bottom/>
      <diagonal/>
    </border>
    <border>
      <left style="dotted">
        <color auto="1"/>
      </left>
      <right style="medium">
        <color auto="1"/>
      </right>
      <top style="thin">
        <color indexed="64"/>
      </top>
      <bottom/>
      <diagonal/>
    </border>
    <border>
      <left style="thin">
        <color auto="1"/>
      </left>
      <right style="dotted">
        <color auto="1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dotted">
        <color auto="1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auto="1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theme="2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uble">
        <color theme="2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/>
      <diagonal/>
    </border>
    <border>
      <left style="medium">
        <color theme="1"/>
      </left>
      <right style="dotted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dotted">
        <color theme="1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auto="1"/>
      </left>
      <right style="dotted">
        <color auto="1"/>
      </right>
      <top/>
      <bottom/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otted">
        <color auto="1"/>
      </left>
      <right/>
      <top/>
      <bottom style="thin">
        <color indexed="64"/>
      </bottom>
      <diagonal/>
    </border>
    <border>
      <left/>
      <right style="dotted">
        <color auto="1"/>
      </right>
      <top style="thin">
        <color indexed="64"/>
      </top>
      <bottom style="thin">
        <color indexed="64"/>
      </bottom>
      <diagonal/>
    </border>
    <border>
      <left/>
      <right style="dotted">
        <color auto="1"/>
      </right>
      <top style="thin">
        <color indexed="64"/>
      </top>
      <bottom/>
      <diagonal/>
    </border>
    <border>
      <left style="dott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/>
      <bottom style="thin">
        <color indexed="64"/>
      </bottom>
      <diagonal/>
    </border>
    <border>
      <left style="medium">
        <color theme="1"/>
      </left>
      <right style="dotted">
        <color theme="1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 style="dotted">
        <color indexed="64"/>
      </left>
      <right style="dashed">
        <color indexed="64"/>
      </right>
      <top/>
      <bottom style="thin">
        <color indexed="64"/>
      </bottom>
      <diagonal/>
    </border>
    <border>
      <left/>
      <right/>
      <top style="thin">
        <color theme="1"/>
      </top>
      <bottom style="medium">
        <color indexed="64"/>
      </bottom>
      <diagonal/>
    </border>
    <border>
      <left/>
      <right style="medium">
        <color theme="1"/>
      </right>
      <top style="thin">
        <color theme="1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medium">
        <color theme="1"/>
      </left>
      <right style="dotted">
        <color theme="1"/>
      </right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dott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/>
      <top/>
      <bottom/>
      <diagonal/>
    </border>
    <border>
      <left style="thin">
        <color indexed="64"/>
      </left>
      <right style="thin">
        <color theme="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4"/>
      </right>
      <top style="thin">
        <color theme="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tted">
        <color auto="1"/>
      </right>
      <top/>
      <bottom style="thin">
        <color theme="1"/>
      </bottom>
      <diagonal/>
    </border>
    <border>
      <left/>
      <right style="dotted">
        <color auto="1"/>
      </right>
      <top style="thin">
        <color theme="1"/>
      </top>
      <bottom style="thin">
        <color theme="1"/>
      </bottom>
      <diagonal/>
    </border>
    <border>
      <left/>
      <right style="dotted">
        <color auto="1"/>
      </right>
      <top style="thin">
        <color theme="1"/>
      </top>
      <bottom/>
      <diagonal/>
    </border>
  </borders>
  <cellStyleXfs count="2">
    <xf numFmtId="0" fontId="0" fillId="0" borderId="0"/>
    <xf numFmtId="0" fontId="14" fillId="0" borderId="0"/>
  </cellStyleXfs>
  <cellXfs count="599">
    <xf numFmtId="0" fontId="0" fillId="0" borderId="0" xfId="0"/>
    <xf numFmtId="0" fontId="0" fillId="2" borderId="0" xfId="0" applyFill="1"/>
    <xf numFmtId="0" fontId="1" fillId="3" borderId="1" xfId="0" applyFont="1" applyFill="1" applyBorder="1"/>
    <xf numFmtId="0" fontId="1" fillId="3" borderId="3" xfId="0" applyFont="1" applyFill="1" applyBorder="1"/>
    <xf numFmtId="0" fontId="1" fillId="3" borderId="4" xfId="0" applyFont="1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7" xfId="0" applyFill="1" applyBorder="1"/>
    <xf numFmtId="0" fontId="0" fillId="3" borderId="0" xfId="0" applyFill="1"/>
    <xf numFmtId="0" fontId="0" fillId="3" borderId="8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3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2" fillId="3" borderId="12" xfId="0" applyFont="1" applyFill="1" applyBorder="1" applyAlignment="1">
      <alignment horizontal="left" vertical="top"/>
    </xf>
    <xf numFmtId="0" fontId="4" fillId="0" borderId="9" xfId="0" applyFont="1" applyBorder="1" applyAlignment="1">
      <alignment horizontal="left" vertical="top" readingOrder="1"/>
    </xf>
    <xf numFmtId="0" fontId="0" fillId="0" borderId="9" xfId="0" applyBorder="1" applyAlignment="1">
      <alignment vertical="top"/>
    </xf>
    <xf numFmtId="0" fontId="8" fillId="0" borderId="9" xfId="0" applyFont="1" applyBorder="1" applyAlignment="1">
      <alignment vertical="top"/>
    </xf>
    <xf numFmtId="0" fontId="1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 vertical="top"/>
    </xf>
    <xf numFmtId="0" fontId="12" fillId="2" borderId="0" xfId="0" applyFont="1" applyFill="1"/>
    <xf numFmtId="0" fontId="3" fillId="2" borderId="0" xfId="0" applyFont="1" applyFill="1"/>
    <xf numFmtId="0" fontId="13" fillId="3" borderId="1" xfId="0" applyFont="1" applyFill="1" applyBorder="1"/>
    <xf numFmtId="0" fontId="13" fillId="3" borderId="3" xfId="0" applyFont="1" applyFill="1" applyBorder="1"/>
    <xf numFmtId="0" fontId="1" fillId="3" borderId="7" xfId="0" applyFont="1" applyFill="1" applyBorder="1" applyAlignment="1">
      <alignment wrapText="1"/>
    </xf>
    <xf numFmtId="0" fontId="13" fillId="3" borderId="0" xfId="0" applyFont="1" applyFill="1"/>
    <xf numFmtId="0" fontId="13" fillId="3" borderId="8" xfId="0" applyFont="1" applyFill="1" applyBorder="1"/>
    <xf numFmtId="0" fontId="13" fillId="3" borderId="5" xfId="0" applyFont="1" applyFill="1" applyBorder="1"/>
    <xf numFmtId="0" fontId="13" fillId="3" borderId="6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1" fillId="3" borderId="1" xfId="0" applyFont="1" applyFill="1" applyBorder="1" applyAlignment="1">
      <alignment horizontal="left" indent="1"/>
    </xf>
    <xf numFmtId="0" fontId="0" fillId="3" borderId="7" xfId="0" applyFill="1" applyBorder="1" applyAlignment="1">
      <alignment horizontal="left" indent="1"/>
    </xf>
    <xf numFmtId="0" fontId="0" fillId="3" borderId="4" xfId="0" applyFill="1" applyBorder="1" applyAlignment="1">
      <alignment horizontal="left" indent="1"/>
    </xf>
    <xf numFmtId="0" fontId="0" fillId="2" borderId="2" xfId="0" applyFill="1" applyBorder="1" applyAlignment="1">
      <alignment horizontal="left" indent="1"/>
    </xf>
    <xf numFmtId="0" fontId="0" fillId="2" borderId="2" xfId="0" applyFill="1" applyBorder="1"/>
    <xf numFmtId="0" fontId="0" fillId="2" borderId="5" xfId="0" applyFill="1" applyBorder="1" applyAlignment="1">
      <alignment horizontal="left" indent="1"/>
    </xf>
    <xf numFmtId="0" fontId="0" fillId="2" borderId="5" xfId="0" applyFill="1" applyBorder="1"/>
    <xf numFmtId="0" fontId="10" fillId="3" borderId="7" xfId="0" applyFont="1" applyFill="1" applyBorder="1" applyAlignment="1">
      <alignment horizontal="left" indent="1"/>
    </xf>
    <xf numFmtId="0" fontId="10" fillId="3" borderId="4" xfId="0" applyFont="1" applyFill="1" applyBorder="1" applyAlignment="1">
      <alignment horizontal="left" indent="1"/>
    </xf>
    <xf numFmtId="0" fontId="2" fillId="3" borderId="18" xfId="0" applyFont="1" applyFill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1" fillId="0" borderId="16" xfId="0" applyFont="1" applyBorder="1" applyAlignment="1">
      <alignment horizontal="left" vertical="top"/>
    </xf>
    <xf numFmtId="0" fontId="2" fillId="4" borderId="30" xfId="0" applyFont="1" applyFill="1" applyBorder="1" applyAlignment="1">
      <alignment horizontal="left" vertical="top"/>
    </xf>
    <xf numFmtId="0" fontId="0" fillId="0" borderId="37" xfId="0" applyBorder="1" applyAlignment="1">
      <alignment horizontal="left" vertical="top"/>
    </xf>
    <xf numFmtId="0" fontId="0" fillId="0" borderId="39" xfId="0" applyBorder="1" applyAlignment="1">
      <alignment horizontal="left" vertical="top"/>
    </xf>
    <xf numFmtId="0" fontId="9" fillId="11" borderId="35" xfId="0" applyFont="1" applyFill="1" applyBorder="1" applyAlignment="1">
      <alignment horizontal="left" wrapText="1"/>
    </xf>
    <xf numFmtId="0" fontId="4" fillId="0" borderId="41" xfId="0" applyFont="1" applyBorder="1" applyAlignment="1">
      <alignment horizontal="left" vertical="center" wrapText="1" readingOrder="1"/>
    </xf>
    <xf numFmtId="0" fontId="4" fillId="0" borderId="10" xfId="0" applyFont="1" applyBorder="1" applyAlignment="1">
      <alignment horizontal="left" vertical="top" wrapText="1" readingOrder="1"/>
    </xf>
    <xf numFmtId="0" fontId="0" fillId="0" borderId="0" xfId="0" applyAlignment="1">
      <alignment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top" wrapText="1"/>
    </xf>
    <xf numFmtId="0" fontId="4" fillId="0" borderId="18" xfId="0" applyFont="1" applyBorder="1" applyAlignment="1">
      <alignment horizontal="left" vertical="center" wrapText="1" readingOrder="1"/>
    </xf>
    <xf numFmtId="0" fontId="15" fillId="3" borderId="15" xfId="0" applyFont="1" applyFill="1" applyBorder="1" applyAlignment="1">
      <alignment horizontal="left" vertical="center" wrapText="1" readingOrder="1"/>
    </xf>
    <xf numFmtId="0" fontId="0" fillId="3" borderId="23" xfId="0" applyFill="1" applyBorder="1" applyAlignment="1">
      <alignment vertical="top" wrapText="1"/>
    </xf>
    <xf numFmtId="0" fontId="11" fillId="3" borderId="24" xfId="0" applyFont="1" applyFill="1" applyBorder="1" applyAlignment="1">
      <alignment horizontal="center" vertical="center" wrapText="1"/>
    </xf>
    <xf numFmtId="0" fontId="1" fillId="5" borderId="22" xfId="0" applyFont="1" applyFill="1" applyBorder="1" applyAlignment="1">
      <alignment horizontal="right" wrapText="1"/>
    </xf>
    <xf numFmtId="0" fontId="1" fillId="5" borderId="20" xfId="0" applyFont="1" applyFill="1" applyBorder="1" applyAlignment="1">
      <alignment wrapText="1"/>
    </xf>
    <xf numFmtId="0" fontId="1" fillId="5" borderId="21" xfId="0" applyFont="1" applyFill="1" applyBorder="1" applyAlignment="1">
      <alignment wrapText="1"/>
    </xf>
    <xf numFmtId="0" fontId="1" fillId="5" borderId="22" xfId="0" applyFont="1" applyFill="1" applyBorder="1" applyAlignment="1">
      <alignment wrapText="1"/>
    </xf>
    <xf numFmtId="0" fontId="1" fillId="12" borderId="20" xfId="0" applyFont="1" applyFill="1" applyBorder="1" applyAlignment="1">
      <alignment wrapText="1"/>
    </xf>
    <xf numFmtId="0" fontId="11" fillId="12" borderId="23" xfId="0" applyFont="1" applyFill="1" applyBorder="1" applyAlignment="1">
      <alignment vertical="center" wrapText="1"/>
    </xf>
    <xf numFmtId="0" fontId="1" fillId="9" borderId="22" xfId="0" applyFont="1" applyFill="1" applyBorder="1" applyAlignment="1">
      <alignment horizontal="right" wrapText="1"/>
    </xf>
    <xf numFmtId="0" fontId="1" fillId="9" borderId="20" xfId="0" applyFont="1" applyFill="1" applyBorder="1" applyAlignment="1">
      <alignment wrapText="1"/>
    </xf>
    <xf numFmtId="0" fontId="1" fillId="9" borderId="21" xfId="0" applyFont="1" applyFill="1" applyBorder="1" applyAlignment="1">
      <alignment wrapText="1"/>
    </xf>
    <xf numFmtId="0" fontId="1" fillId="9" borderId="22" xfId="0" applyFont="1" applyFill="1" applyBorder="1" applyAlignment="1">
      <alignment wrapText="1"/>
    </xf>
    <xf numFmtId="0" fontId="0" fillId="0" borderId="2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3" borderId="9" xfId="0" applyFill="1" applyBorder="1" applyAlignment="1">
      <alignment vertical="top" wrapText="1"/>
    </xf>
    <xf numFmtId="0" fontId="1" fillId="9" borderId="48" xfId="0" applyFont="1" applyFill="1" applyBorder="1" applyAlignment="1">
      <alignment wrapText="1"/>
    </xf>
    <xf numFmtId="0" fontId="1" fillId="9" borderId="49" xfId="0" applyFont="1" applyFill="1" applyBorder="1" applyAlignment="1">
      <alignment wrapText="1"/>
    </xf>
    <xf numFmtId="0" fontId="1" fillId="9" borderId="50" xfId="0" applyFont="1" applyFill="1" applyBorder="1" applyAlignment="1">
      <alignment wrapText="1"/>
    </xf>
    <xf numFmtId="0" fontId="0" fillId="3" borderId="24" xfId="0" applyFill="1" applyBorder="1" applyAlignment="1">
      <alignment vertical="top" wrapText="1"/>
    </xf>
    <xf numFmtId="0" fontId="1" fillId="2" borderId="0" xfId="0" applyFont="1" applyFill="1" applyAlignment="1">
      <alignment wrapText="1"/>
    </xf>
    <xf numFmtId="0" fontId="21" fillId="2" borderId="0" xfId="0" applyFont="1" applyFill="1" applyAlignment="1">
      <alignment horizontal="left" vertical="top"/>
    </xf>
    <xf numFmtId="0" fontId="0" fillId="0" borderId="9" xfId="0" applyBorder="1" applyAlignment="1">
      <alignment vertical="top" wrapText="1"/>
    </xf>
    <xf numFmtId="0" fontId="6" fillId="0" borderId="9" xfId="0" applyFont="1" applyBorder="1" applyAlignment="1">
      <alignment horizontal="left" vertical="top" readingOrder="1"/>
    </xf>
    <xf numFmtId="0" fontId="6" fillId="0" borderId="9" xfId="0" applyFont="1" applyBorder="1" applyAlignment="1">
      <alignment vertical="top"/>
    </xf>
    <xf numFmtId="0" fontId="0" fillId="0" borderId="18" xfId="0" applyBorder="1" applyAlignment="1">
      <alignment horizontal="left" vertical="top"/>
    </xf>
    <xf numFmtId="0" fontId="0" fillId="0" borderId="19" xfId="0" applyBorder="1" applyAlignment="1">
      <alignment horizontal="left" vertical="top"/>
    </xf>
    <xf numFmtId="0" fontId="24" fillId="0" borderId="0" xfId="0" applyFont="1"/>
    <xf numFmtId="0" fontId="4" fillId="0" borderId="19" xfId="0" applyFont="1" applyBorder="1" applyAlignment="1">
      <alignment horizontal="left" vertical="center" wrapText="1" readingOrder="1"/>
    </xf>
    <xf numFmtId="0" fontId="2" fillId="4" borderId="61" xfId="0" applyFont="1" applyFill="1" applyBorder="1" applyAlignment="1">
      <alignment horizontal="left" vertical="top"/>
    </xf>
    <xf numFmtId="0" fontId="6" fillId="2" borderId="66" xfId="0" applyFont="1" applyFill="1" applyBorder="1" applyAlignment="1">
      <alignment horizontal="left" vertical="center" wrapText="1" readingOrder="1"/>
    </xf>
    <xf numFmtId="0" fontId="2" fillId="14" borderId="68" xfId="0" applyFont="1" applyFill="1" applyBorder="1" applyAlignment="1">
      <alignment horizontal="left" vertical="top"/>
    </xf>
    <xf numFmtId="0" fontId="0" fillId="0" borderId="83" xfId="0" applyBorder="1" applyAlignment="1">
      <alignment horizontal="center" vertical="center"/>
    </xf>
    <xf numFmtId="0" fontId="0" fillId="0" borderId="84" xfId="0" applyBorder="1" applyAlignment="1">
      <alignment horizontal="center" vertical="center"/>
    </xf>
    <xf numFmtId="0" fontId="2" fillId="15" borderId="64" xfId="0" applyFont="1" applyFill="1" applyBorder="1" applyAlignment="1">
      <alignment horizontal="left" vertical="top"/>
    </xf>
    <xf numFmtId="0" fontId="2" fillId="15" borderId="18" xfId="0" applyFont="1" applyFill="1" applyBorder="1" applyAlignment="1">
      <alignment horizontal="left" vertical="top"/>
    </xf>
    <xf numFmtId="0" fontId="2" fillId="15" borderId="45" xfId="0" applyFont="1" applyFill="1" applyBorder="1" applyAlignment="1">
      <alignment horizontal="left" vertical="top" wrapText="1"/>
    </xf>
    <xf numFmtId="0" fontId="2" fillId="15" borderId="83" xfId="0" applyFont="1" applyFill="1" applyBorder="1" applyAlignment="1">
      <alignment horizontal="left" vertical="top"/>
    </xf>
    <xf numFmtId="0" fontId="2" fillId="15" borderId="84" xfId="0" applyFont="1" applyFill="1" applyBorder="1" applyAlignment="1">
      <alignment horizontal="left" vertical="top"/>
    </xf>
    <xf numFmtId="0" fontId="0" fillId="0" borderId="85" xfId="0" applyBorder="1" applyAlignment="1">
      <alignment horizontal="left" vertical="top"/>
    </xf>
    <xf numFmtId="0" fontId="0" fillId="0" borderId="86" xfId="0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4" fillId="0" borderId="19" xfId="0" applyFont="1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0" fillId="13" borderId="65" xfId="0" applyFill="1" applyBorder="1" applyAlignment="1">
      <alignment horizontal="left" vertical="center"/>
    </xf>
    <xf numFmtId="0" fontId="0" fillId="13" borderId="66" xfId="0" applyFill="1" applyBorder="1" applyAlignment="1">
      <alignment horizontal="left" vertical="center"/>
    </xf>
    <xf numFmtId="0" fontId="0" fillId="13" borderId="75" xfId="0" applyFill="1" applyBorder="1" applyAlignment="1">
      <alignment horizontal="left" vertical="center"/>
    </xf>
    <xf numFmtId="0" fontId="0" fillId="13" borderId="78" xfId="0" applyFill="1" applyBorder="1" applyAlignment="1">
      <alignment horizontal="left" vertical="center"/>
    </xf>
    <xf numFmtId="0" fontId="0" fillId="13" borderId="79" xfId="0" applyFill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0" fillId="13" borderId="58" xfId="0" applyFill="1" applyBorder="1" applyAlignment="1">
      <alignment horizontal="left" vertical="center"/>
    </xf>
    <xf numFmtId="0" fontId="0" fillId="13" borderId="55" xfId="0" applyFill="1" applyBorder="1" applyAlignment="1">
      <alignment horizontal="left" vertical="center"/>
    </xf>
    <xf numFmtId="0" fontId="0" fillId="13" borderId="80" xfId="0" applyFill="1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4" fillId="0" borderId="18" xfId="0" applyFont="1" applyBorder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9" fillId="14" borderId="36" xfId="0" applyFont="1" applyFill="1" applyBorder="1" applyAlignment="1">
      <alignment horizontal="left" wrapText="1"/>
    </xf>
    <xf numFmtId="0" fontId="0" fillId="13" borderId="40" xfId="0" applyFill="1" applyBorder="1" applyAlignment="1">
      <alignment horizontal="left" vertical="center"/>
    </xf>
    <xf numFmtId="0" fontId="0" fillId="13" borderId="39" xfId="0" applyFill="1" applyBorder="1" applyAlignment="1">
      <alignment horizontal="left" vertical="center"/>
    </xf>
    <xf numFmtId="0" fontId="2" fillId="12" borderId="84" xfId="0" applyFont="1" applyFill="1" applyBorder="1" applyAlignment="1">
      <alignment horizontal="left" vertical="top" wrapText="1"/>
    </xf>
    <xf numFmtId="0" fontId="2" fillId="12" borderId="83" xfId="0" applyFont="1" applyFill="1" applyBorder="1" applyAlignment="1">
      <alignment horizontal="left" vertical="top" wrapText="1"/>
    </xf>
    <xf numFmtId="0" fontId="0" fillId="0" borderId="89" xfId="0" applyBorder="1" applyAlignment="1">
      <alignment horizontal="center" vertical="center"/>
    </xf>
    <xf numFmtId="0" fontId="0" fillId="0" borderId="88" xfId="0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4" fillId="3" borderId="18" xfId="0" applyFont="1" applyFill="1" applyBorder="1" applyAlignment="1">
      <alignment horizontal="left" vertical="center" wrapText="1" readingOrder="1"/>
    </xf>
    <xf numFmtId="0" fontId="2" fillId="9" borderId="83" xfId="0" applyFont="1" applyFill="1" applyBorder="1" applyAlignment="1">
      <alignment horizontal="left" vertical="top" wrapText="1"/>
    </xf>
    <xf numFmtId="0" fontId="2" fillId="9" borderId="84" xfId="0" applyFont="1" applyFill="1" applyBorder="1" applyAlignment="1">
      <alignment horizontal="left" vertical="top" wrapText="1"/>
    </xf>
    <xf numFmtId="0" fontId="27" fillId="3" borderId="17" xfId="0" applyFont="1" applyFill="1" applyBorder="1" applyAlignment="1">
      <alignment horizontal="left" vertical="center" wrapText="1"/>
    </xf>
    <xf numFmtId="0" fontId="2" fillId="6" borderId="83" xfId="0" applyFont="1" applyFill="1" applyBorder="1" applyAlignment="1">
      <alignment horizontal="left" vertical="top" wrapText="1"/>
    </xf>
    <xf numFmtId="0" fontId="2" fillId="6" borderId="84" xfId="0" applyFont="1" applyFill="1" applyBorder="1" applyAlignment="1">
      <alignment horizontal="left" vertical="top" wrapText="1"/>
    </xf>
    <xf numFmtId="0" fontId="15" fillId="3" borderId="11" xfId="0" applyFont="1" applyFill="1" applyBorder="1" applyAlignment="1">
      <alignment horizontal="left" vertical="center" wrapText="1" readingOrder="1"/>
    </xf>
    <xf numFmtId="0" fontId="0" fillId="0" borderId="16" xfId="0" applyBorder="1" applyAlignment="1">
      <alignment horizontal="left" vertical="top" wrapText="1"/>
    </xf>
    <xf numFmtId="0" fontId="2" fillId="4" borderId="18" xfId="0" applyFont="1" applyFill="1" applyBorder="1" applyAlignment="1">
      <alignment horizontal="left" vertical="top"/>
    </xf>
    <xf numFmtId="0" fontId="2" fillId="4" borderId="18" xfId="0" applyFont="1" applyFill="1" applyBorder="1" applyAlignment="1">
      <alignment horizontal="left" vertical="top" wrapText="1"/>
    </xf>
    <xf numFmtId="0" fontId="2" fillId="7" borderId="18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2" fillId="7" borderId="18" xfId="0" applyFont="1" applyFill="1" applyBorder="1" applyAlignment="1">
      <alignment horizontal="left" vertical="top"/>
    </xf>
    <xf numFmtId="0" fontId="1" fillId="14" borderId="68" xfId="0" applyFont="1" applyFill="1" applyBorder="1" applyAlignment="1">
      <alignment horizontal="left" vertical="top"/>
    </xf>
    <xf numFmtId="0" fontId="4" fillId="0" borderId="17" xfId="0" applyFont="1" applyBorder="1" applyAlignment="1">
      <alignment horizontal="left" vertical="center" wrapText="1" readingOrder="1"/>
    </xf>
    <xf numFmtId="0" fontId="27" fillId="3" borderId="94" xfId="0" applyFont="1" applyFill="1" applyBorder="1" applyAlignment="1">
      <alignment horizontal="left" vertical="center" wrapText="1"/>
    </xf>
    <xf numFmtId="0" fontId="0" fillId="0" borderId="95" xfId="0" applyBorder="1" applyAlignment="1">
      <alignment horizontal="center" vertical="center"/>
    </xf>
    <xf numFmtId="0" fontId="0" fillId="0" borderId="96" xfId="0" applyBorder="1" applyAlignment="1">
      <alignment horizontal="center" vertical="center"/>
    </xf>
    <xf numFmtId="0" fontId="0" fillId="0" borderId="14" xfId="0" applyBorder="1" applyAlignment="1">
      <alignment horizontal="left" vertical="top" wrapText="1"/>
    </xf>
    <xf numFmtId="0" fontId="0" fillId="0" borderId="16" xfId="0" applyBorder="1" applyAlignment="1">
      <alignment horizontal="left" vertical="top"/>
    </xf>
    <xf numFmtId="0" fontId="2" fillId="4" borderId="12" xfId="0" applyFont="1" applyFill="1" applyBorder="1" applyAlignment="1">
      <alignment horizontal="left" vertical="top"/>
    </xf>
    <xf numFmtId="0" fontId="2" fillId="4" borderId="17" xfId="0" applyFont="1" applyFill="1" applyBorder="1" applyAlignment="1">
      <alignment horizontal="left" vertical="top"/>
    </xf>
    <xf numFmtId="0" fontId="1" fillId="0" borderId="18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0" fontId="2" fillId="4" borderId="31" xfId="0" applyFont="1" applyFill="1" applyBorder="1" applyAlignment="1">
      <alignment horizontal="left" vertical="top"/>
    </xf>
    <xf numFmtId="0" fontId="2" fillId="4" borderId="20" xfId="0" applyFont="1" applyFill="1" applyBorder="1" applyAlignment="1">
      <alignment horizontal="left" vertical="top" wrapText="1"/>
    </xf>
    <xf numFmtId="0" fontId="2" fillId="4" borderId="34" xfId="0" applyFont="1" applyFill="1" applyBorder="1" applyAlignment="1">
      <alignment horizontal="left" vertical="top" wrapText="1"/>
    </xf>
    <xf numFmtId="0" fontId="0" fillId="0" borderId="61" xfId="0" applyBorder="1" applyAlignment="1">
      <alignment horizontal="left" vertical="top" wrapText="1"/>
    </xf>
    <xf numFmtId="0" fontId="0" fillId="0" borderId="63" xfId="0" applyBorder="1" applyAlignment="1">
      <alignment horizontal="left" vertical="top" wrapText="1"/>
    </xf>
    <xf numFmtId="0" fontId="0" fillId="0" borderId="62" xfId="0" applyBorder="1" applyAlignment="1">
      <alignment horizontal="left" vertical="top" wrapText="1"/>
    </xf>
    <xf numFmtId="0" fontId="0" fillId="0" borderId="31" xfId="0" applyBorder="1" applyAlignment="1">
      <alignment horizontal="left" vertical="top"/>
    </xf>
    <xf numFmtId="0" fontId="0" fillId="0" borderId="33" xfId="0" applyBorder="1" applyAlignment="1">
      <alignment horizontal="left" vertical="top"/>
    </xf>
    <xf numFmtId="0" fontId="2" fillId="4" borderId="74" xfId="0" applyFont="1" applyFill="1" applyBorder="1" applyAlignment="1">
      <alignment horizontal="left" vertical="top"/>
    </xf>
    <xf numFmtId="0" fontId="0" fillId="0" borderId="74" xfId="0" applyBorder="1" applyAlignment="1">
      <alignment horizontal="left" vertical="top"/>
    </xf>
    <xf numFmtId="0" fontId="0" fillId="0" borderId="75" xfId="0" applyBorder="1" applyAlignment="1">
      <alignment horizontal="left" vertical="top"/>
    </xf>
    <xf numFmtId="0" fontId="0" fillId="0" borderId="76" xfId="0" applyBorder="1" applyAlignment="1">
      <alignment horizontal="left" vertical="top"/>
    </xf>
    <xf numFmtId="0" fontId="2" fillId="14" borderId="78" xfId="0" applyFont="1" applyFill="1" applyBorder="1" applyAlignment="1">
      <alignment horizontal="left" vertical="top"/>
    </xf>
    <xf numFmtId="0" fontId="2" fillId="14" borderId="84" xfId="0" applyFont="1" applyFill="1" applyBorder="1" applyAlignment="1">
      <alignment horizontal="left" vertical="top"/>
    </xf>
    <xf numFmtId="0" fontId="2" fillId="14" borderId="89" xfId="0" applyFont="1" applyFill="1" applyBorder="1" applyAlignment="1">
      <alignment horizontal="left" vertical="top"/>
    </xf>
    <xf numFmtId="0" fontId="2" fillId="4" borderId="45" xfId="0" applyFont="1" applyFill="1" applyBorder="1" applyAlignment="1">
      <alignment horizontal="left" vertical="top"/>
    </xf>
    <xf numFmtId="0" fontId="2" fillId="14" borderId="12" xfId="0" applyFont="1" applyFill="1" applyBorder="1" applyAlignment="1">
      <alignment horizontal="left" vertical="top"/>
    </xf>
    <xf numFmtId="0" fontId="2" fillId="14" borderId="45" xfId="0" applyFont="1" applyFill="1" applyBorder="1" applyAlignment="1">
      <alignment horizontal="left" vertical="top"/>
    </xf>
    <xf numFmtId="0" fontId="2" fillId="8" borderId="18" xfId="0" applyFont="1" applyFill="1" applyBorder="1" applyAlignment="1">
      <alignment horizontal="left" vertical="top"/>
    </xf>
    <xf numFmtId="0" fontId="1" fillId="0" borderId="90" xfId="0" applyFont="1" applyBorder="1" applyAlignment="1">
      <alignment horizontal="left" vertical="top"/>
    </xf>
    <xf numFmtId="0" fontId="0" fillId="13" borderId="91" xfId="0" applyFill="1" applyBorder="1" applyAlignment="1">
      <alignment horizontal="left" vertical="center"/>
    </xf>
    <xf numFmtId="0" fontId="17" fillId="14" borderId="102" xfId="0" applyFont="1" applyFill="1" applyBorder="1" applyAlignment="1">
      <alignment horizontal="left" vertical="top"/>
    </xf>
    <xf numFmtId="0" fontId="1" fillId="14" borderId="91" xfId="0" applyFont="1" applyFill="1" applyBorder="1" applyAlignment="1">
      <alignment horizontal="left" vertical="top"/>
    </xf>
    <xf numFmtId="0" fontId="2" fillId="14" borderId="40" xfId="0" applyFont="1" applyFill="1" applyBorder="1" applyAlignment="1">
      <alignment horizontal="left" vertical="top" wrapText="1"/>
    </xf>
    <xf numFmtId="0" fontId="2" fillId="7" borderId="40" xfId="0" applyFont="1" applyFill="1" applyBorder="1" applyAlignment="1">
      <alignment horizontal="left" vertical="top" wrapText="1"/>
    </xf>
    <xf numFmtId="0" fontId="2" fillId="14" borderId="103" xfId="0" applyFont="1" applyFill="1" applyBorder="1" applyAlignment="1">
      <alignment horizontal="left" vertical="top" wrapText="1"/>
    </xf>
    <xf numFmtId="0" fontId="2" fillId="7" borderId="83" xfId="0" applyFont="1" applyFill="1" applyBorder="1" applyAlignment="1">
      <alignment horizontal="left" vertical="top" wrapText="1"/>
    </xf>
    <xf numFmtId="0" fontId="2" fillId="7" borderId="84" xfId="0" applyFont="1" applyFill="1" applyBorder="1" applyAlignment="1">
      <alignment horizontal="left" vertical="top" wrapText="1"/>
    </xf>
    <xf numFmtId="0" fontId="2" fillId="7" borderId="107" xfId="0" applyFont="1" applyFill="1" applyBorder="1" applyAlignment="1">
      <alignment horizontal="left" vertical="top" wrapText="1"/>
    </xf>
    <xf numFmtId="0" fontId="0" fillId="0" borderId="107" xfId="0" applyBorder="1" applyAlignment="1">
      <alignment horizontal="left" vertical="top" wrapText="1"/>
    </xf>
    <xf numFmtId="0" fontId="0" fillId="0" borderId="72" xfId="0" applyBorder="1" applyAlignment="1">
      <alignment horizontal="left" vertical="top" wrapText="1"/>
    </xf>
    <xf numFmtId="0" fontId="0" fillId="0" borderId="56" xfId="0" applyBorder="1" applyAlignment="1">
      <alignment horizontal="left" vertical="top" wrapText="1"/>
    </xf>
    <xf numFmtId="0" fontId="2" fillId="4" borderId="12" xfId="0" applyFont="1" applyFill="1" applyBorder="1" applyAlignment="1">
      <alignment horizontal="left" vertical="top" wrapText="1"/>
    </xf>
    <xf numFmtId="0" fontId="28" fillId="0" borderId="0" xfId="0" applyFont="1"/>
    <xf numFmtId="0" fontId="2" fillId="15" borderId="17" xfId="0" applyFont="1" applyFill="1" applyBorder="1" applyAlignment="1">
      <alignment horizontal="left" vertical="top" wrapText="1"/>
    </xf>
    <xf numFmtId="0" fontId="15" fillId="3" borderId="17" xfId="0" applyFont="1" applyFill="1" applyBorder="1" applyAlignment="1">
      <alignment horizontal="left" vertical="center" wrapText="1" readingOrder="1"/>
    </xf>
    <xf numFmtId="0" fontId="2" fillId="15" borderId="18" xfId="0" applyFont="1" applyFill="1" applyBorder="1" applyAlignment="1">
      <alignment horizontal="left" vertical="top" wrapText="1"/>
    </xf>
    <xf numFmtId="0" fontId="2" fillId="15" borderId="12" xfId="0" applyFont="1" applyFill="1" applyBorder="1" applyAlignment="1">
      <alignment horizontal="left" vertical="top"/>
    </xf>
    <xf numFmtId="0" fontId="17" fillId="15" borderId="18" xfId="0" applyFont="1" applyFill="1" applyBorder="1" applyAlignment="1">
      <alignment horizontal="left" vertical="top"/>
    </xf>
    <xf numFmtId="0" fontId="2" fillId="14" borderId="91" xfId="0" applyFont="1" applyFill="1" applyBorder="1" applyAlignment="1">
      <alignment horizontal="left" vertical="top"/>
    </xf>
    <xf numFmtId="0" fontId="23" fillId="13" borderId="65" xfId="0" applyFont="1" applyFill="1" applyBorder="1" applyAlignment="1">
      <alignment horizontal="left" vertical="center"/>
    </xf>
    <xf numFmtId="0" fontId="4" fillId="0" borderId="12" xfId="0" applyFont="1" applyBorder="1" applyAlignment="1">
      <alignment horizontal="left" vertical="center" wrapText="1" readingOrder="1"/>
    </xf>
    <xf numFmtId="0" fontId="0" fillId="0" borderId="0" xfId="0" applyAlignment="1">
      <alignment horizontal="left" vertical="center"/>
    </xf>
    <xf numFmtId="0" fontId="25" fillId="0" borderId="0" xfId="0" applyFont="1" applyAlignment="1">
      <alignment horizontal="left"/>
    </xf>
    <xf numFmtId="0" fontId="0" fillId="0" borderId="0" xfId="0" applyAlignment="1">
      <alignment horizontal="left"/>
    </xf>
    <xf numFmtId="0" fontId="24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4" fillId="13" borderId="55" xfId="0" applyFont="1" applyFill="1" applyBorder="1" applyAlignment="1">
      <alignment horizontal="left" vertical="center" wrapText="1"/>
    </xf>
    <xf numFmtId="0" fontId="6" fillId="2" borderId="108" xfId="0" applyFont="1" applyFill="1" applyBorder="1" applyAlignment="1">
      <alignment horizontal="left" vertical="center" wrapText="1" readingOrder="1"/>
    </xf>
    <xf numFmtId="0" fontId="13" fillId="2" borderId="75" xfId="0" applyFont="1" applyFill="1" applyBorder="1" applyAlignment="1">
      <alignment horizontal="left" vertical="center" wrapText="1" readingOrder="1"/>
    </xf>
    <xf numFmtId="0" fontId="0" fillId="0" borderId="78" xfId="0" applyBorder="1" applyAlignment="1">
      <alignment horizontal="left" vertical="center"/>
    </xf>
    <xf numFmtId="0" fontId="0" fillId="13" borderId="84" xfId="0" applyFill="1" applyBorder="1" applyAlignment="1">
      <alignment horizontal="left" vertical="center"/>
    </xf>
    <xf numFmtId="0" fontId="15" fillId="0" borderId="83" xfId="0" applyFont="1" applyBorder="1" applyAlignment="1">
      <alignment horizontal="left" vertical="center" wrapText="1" readingOrder="1"/>
    </xf>
    <xf numFmtId="0" fontId="15" fillId="0" borderId="84" xfId="0" applyFont="1" applyBorder="1" applyAlignment="1">
      <alignment horizontal="left" vertical="center" wrapText="1" readingOrder="1"/>
    </xf>
    <xf numFmtId="0" fontId="0" fillId="0" borderId="79" xfId="0" applyBorder="1" applyAlignment="1">
      <alignment horizontal="left" vertical="top"/>
    </xf>
    <xf numFmtId="0" fontId="4" fillId="0" borderId="75" xfId="0" applyFont="1" applyBorder="1" applyAlignment="1">
      <alignment horizontal="left" vertical="top" wrapText="1"/>
    </xf>
    <xf numFmtId="0" fontId="0" fillId="0" borderId="75" xfId="0" applyBorder="1" applyAlignment="1">
      <alignment horizontal="left" vertical="top" wrapText="1"/>
    </xf>
    <xf numFmtId="0" fontId="0" fillId="13" borderId="111" xfId="0" applyFill="1" applyBorder="1" applyAlignment="1">
      <alignment horizontal="left" vertical="center"/>
    </xf>
    <xf numFmtId="0" fontId="0" fillId="13" borderId="105" xfId="0" applyFill="1" applyBorder="1" applyAlignment="1">
      <alignment horizontal="left" vertical="center"/>
    </xf>
    <xf numFmtId="0" fontId="0" fillId="13" borderId="103" xfId="0" applyFill="1" applyBorder="1" applyAlignment="1">
      <alignment horizontal="left" vertical="center"/>
    </xf>
    <xf numFmtId="0" fontId="24" fillId="0" borderId="0" xfId="0" applyFont="1" applyAlignment="1">
      <alignment wrapText="1"/>
    </xf>
    <xf numFmtId="0" fontId="23" fillId="13" borderId="91" xfId="0" applyFont="1" applyFill="1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0" fontId="0" fillId="13" borderId="102" xfId="0" applyFill="1" applyBorder="1" applyAlignment="1">
      <alignment horizontal="left" vertical="center"/>
    </xf>
    <xf numFmtId="0" fontId="0" fillId="13" borderId="87" xfId="0" applyFill="1" applyBorder="1" applyAlignment="1">
      <alignment horizontal="left" vertical="center"/>
    </xf>
    <xf numFmtId="0" fontId="6" fillId="2" borderId="83" xfId="0" applyFont="1" applyFill="1" applyBorder="1" applyAlignment="1">
      <alignment horizontal="left" vertical="center" wrapText="1" readingOrder="1"/>
    </xf>
    <xf numFmtId="0" fontId="6" fillId="2" borderId="84" xfId="0" applyFont="1" applyFill="1" applyBorder="1" applyAlignment="1">
      <alignment horizontal="left" vertical="center" wrapText="1" readingOrder="1"/>
    </xf>
    <xf numFmtId="0" fontId="13" fillId="2" borderId="79" xfId="0" applyFont="1" applyFill="1" applyBorder="1" applyAlignment="1">
      <alignment horizontal="left" vertical="center" wrapText="1" readingOrder="1"/>
    </xf>
    <xf numFmtId="0" fontId="27" fillId="3" borderId="114" xfId="0" applyFont="1" applyFill="1" applyBorder="1" applyAlignment="1">
      <alignment horizontal="left" vertical="center" wrapText="1"/>
    </xf>
    <xf numFmtId="0" fontId="0" fillId="0" borderId="115" xfId="0" applyBorder="1" applyAlignment="1">
      <alignment horizontal="center" vertical="center"/>
    </xf>
    <xf numFmtId="0" fontId="0" fillId="13" borderId="116" xfId="0" applyFill="1" applyBorder="1" applyAlignment="1">
      <alignment horizontal="left" vertical="center"/>
    </xf>
    <xf numFmtId="0" fontId="17" fillId="4" borderId="18" xfId="0" applyFont="1" applyFill="1" applyBorder="1" applyAlignment="1">
      <alignment horizontal="left" vertical="top" wrapText="1"/>
    </xf>
    <xf numFmtId="0" fontId="2" fillId="5" borderId="107" xfId="0" applyFont="1" applyFill="1" applyBorder="1" applyAlignment="1">
      <alignment horizontal="left" vertical="top" wrapText="1"/>
    </xf>
    <xf numFmtId="0" fontId="17" fillId="5" borderId="45" xfId="0" applyFont="1" applyFill="1" applyBorder="1" applyAlignment="1">
      <alignment horizontal="left" vertical="top" wrapText="1"/>
    </xf>
    <xf numFmtId="0" fontId="17" fillId="5" borderId="18" xfId="0" applyFont="1" applyFill="1" applyBorder="1" applyAlignment="1">
      <alignment horizontal="left" vertical="top" wrapText="1"/>
    </xf>
    <xf numFmtId="0" fontId="2" fillId="5" borderId="18" xfId="0" applyFont="1" applyFill="1" applyBorder="1" applyAlignment="1">
      <alignment horizontal="left" vertical="top" wrapText="1"/>
    </xf>
    <xf numFmtId="0" fontId="2" fillId="12" borderId="18" xfId="0" applyFont="1" applyFill="1" applyBorder="1" applyAlignment="1">
      <alignment horizontal="left" vertical="top" wrapText="1"/>
    </xf>
    <xf numFmtId="0" fontId="2" fillId="12" borderId="17" xfId="0" applyFont="1" applyFill="1" applyBorder="1" applyAlignment="1">
      <alignment horizontal="left" vertical="top" wrapText="1"/>
    </xf>
    <xf numFmtId="0" fontId="2" fillId="12" borderId="81" xfId="0" applyFont="1" applyFill="1" applyBorder="1" applyAlignment="1">
      <alignment horizontal="left" vertical="top" wrapText="1"/>
    </xf>
    <xf numFmtId="0" fontId="2" fillId="6" borderId="18" xfId="0" applyFont="1" applyFill="1" applyBorder="1" applyAlignment="1">
      <alignment horizontal="left" vertical="top" wrapText="1"/>
    </xf>
    <xf numFmtId="0" fontId="2" fillId="6" borderId="79" xfId="0" applyFont="1" applyFill="1" applyBorder="1" applyAlignment="1">
      <alignment horizontal="left" vertical="top" wrapText="1"/>
    </xf>
    <xf numFmtId="0" fontId="2" fillId="9" borderId="17" xfId="0" applyFont="1" applyFill="1" applyBorder="1" applyAlignment="1">
      <alignment horizontal="left" vertical="top" wrapText="1"/>
    </xf>
    <xf numFmtId="0" fontId="2" fillId="9" borderId="81" xfId="0" applyFont="1" applyFill="1" applyBorder="1" applyAlignment="1">
      <alignment horizontal="left" vertical="top" wrapText="1"/>
    </xf>
    <xf numFmtId="0" fontId="2" fillId="6" borderId="17" xfId="0" applyFont="1" applyFill="1" applyBorder="1" applyAlignment="1">
      <alignment horizontal="left" vertical="top" wrapText="1"/>
    </xf>
    <xf numFmtId="0" fontId="2" fillId="6" borderId="81" xfId="0" applyFont="1" applyFill="1" applyBorder="1" applyAlignment="1">
      <alignment horizontal="left" vertical="top" wrapText="1"/>
    </xf>
    <xf numFmtId="0" fontId="2" fillId="9" borderId="18" xfId="0" applyFont="1" applyFill="1" applyBorder="1" applyAlignment="1">
      <alignment horizontal="left" vertical="top" wrapText="1"/>
    </xf>
    <xf numFmtId="0" fontId="2" fillId="14" borderId="113" xfId="0" applyFont="1" applyFill="1" applyBorder="1" applyAlignment="1">
      <alignment horizontal="left" vertical="top" wrapText="1"/>
    </xf>
    <xf numFmtId="0" fontId="2" fillId="10" borderId="114" xfId="0" applyFont="1" applyFill="1" applyBorder="1" applyAlignment="1">
      <alignment horizontal="left" vertical="top" wrapText="1"/>
    </xf>
    <xf numFmtId="0" fontId="2" fillId="10" borderId="115" xfId="0" applyFont="1" applyFill="1" applyBorder="1" applyAlignment="1">
      <alignment horizontal="left" vertical="top" wrapText="1"/>
    </xf>
    <xf numFmtId="0" fontId="5" fillId="0" borderId="12" xfId="0" applyFont="1" applyBorder="1" applyAlignment="1">
      <alignment horizontal="left" vertical="center" wrapText="1" readingOrder="1"/>
    </xf>
    <xf numFmtId="0" fontId="5" fillId="0" borderId="90" xfId="0" applyFont="1" applyBorder="1" applyAlignment="1">
      <alignment horizontal="left" vertical="center" wrapText="1" readingOrder="1"/>
    </xf>
    <xf numFmtId="0" fontId="4" fillId="0" borderId="44" xfId="0" applyFont="1" applyBorder="1" applyAlignment="1">
      <alignment horizontal="left" vertical="center" wrapText="1" readingOrder="1"/>
    </xf>
    <xf numFmtId="0" fontId="23" fillId="13" borderId="58" xfId="0" applyFont="1" applyFill="1" applyBorder="1" applyAlignment="1">
      <alignment horizontal="left" vertical="center"/>
    </xf>
    <xf numFmtId="0" fontId="4" fillId="0" borderId="16" xfId="0" applyFont="1" applyBorder="1" applyAlignment="1">
      <alignment horizontal="left" vertical="center" wrapText="1" readingOrder="1"/>
    </xf>
    <xf numFmtId="0" fontId="4" fillId="0" borderId="90" xfId="0" applyFont="1" applyBorder="1" applyAlignment="1">
      <alignment horizontal="left" vertical="center" wrapText="1" readingOrder="1"/>
    </xf>
    <xf numFmtId="0" fontId="0" fillId="0" borderId="85" xfId="0" applyBorder="1" applyAlignment="1">
      <alignment horizontal="left" vertical="center"/>
    </xf>
    <xf numFmtId="0" fontId="6" fillId="2" borderId="109" xfId="0" applyFont="1" applyFill="1" applyBorder="1" applyAlignment="1">
      <alignment horizontal="left" vertical="center" wrapText="1" readingOrder="1"/>
    </xf>
    <xf numFmtId="0" fontId="6" fillId="2" borderId="55" xfId="0" applyFont="1" applyFill="1" applyBorder="1" applyAlignment="1">
      <alignment horizontal="left" vertical="center" wrapText="1" readingOrder="1"/>
    </xf>
    <xf numFmtId="0" fontId="13" fillId="2" borderId="119" xfId="0" applyFont="1" applyFill="1" applyBorder="1" applyAlignment="1">
      <alignment horizontal="left" vertical="center" wrapText="1" readingOrder="1"/>
    </xf>
    <xf numFmtId="0" fontId="0" fillId="13" borderId="101" xfId="0" applyFill="1" applyBorder="1" applyAlignment="1">
      <alignment horizontal="left" vertical="center"/>
    </xf>
    <xf numFmtId="0" fontId="0" fillId="13" borderId="119" xfId="0" applyFill="1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20" xfId="0" applyBorder="1" applyAlignment="1">
      <alignment horizontal="left" vertical="center"/>
    </xf>
    <xf numFmtId="0" fontId="4" fillId="0" borderId="16" xfId="0" applyFont="1" applyBorder="1" applyAlignment="1">
      <alignment horizontal="left" vertical="top" wrapText="1"/>
    </xf>
    <xf numFmtId="0" fontId="15" fillId="0" borderId="86" xfId="0" applyFont="1" applyBorder="1" applyAlignment="1">
      <alignment horizontal="left" vertical="center" wrapText="1" readingOrder="1"/>
    </xf>
    <xf numFmtId="0" fontId="15" fillId="0" borderId="87" xfId="0" applyFont="1" applyBorder="1" applyAlignment="1">
      <alignment horizontal="left" vertical="center" wrapText="1" readingOrder="1"/>
    </xf>
    <xf numFmtId="0" fontId="4" fillId="0" borderId="119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27" fillId="3" borderId="44" xfId="0" applyFont="1" applyFill="1" applyBorder="1" applyAlignment="1">
      <alignment horizontal="left" vertical="center" wrapText="1"/>
    </xf>
    <xf numFmtId="0" fontId="27" fillId="3" borderId="122" xfId="0" applyFont="1" applyFill="1" applyBorder="1" applyAlignment="1">
      <alignment horizontal="left" vertical="center" wrapText="1"/>
    </xf>
    <xf numFmtId="0" fontId="0" fillId="13" borderId="123" xfId="0" applyFill="1" applyBorder="1" applyAlignment="1">
      <alignment horizontal="left" vertical="center"/>
    </xf>
    <xf numFmtId="0" fontId="0" fillId="13" borderId="106" xfId="0" applyFill="1" applyBorder="1" applyAlignment="1">
      <alignment horizontal="left" vertical="center"/>
    </xf>
    <xf numFmtId="0" fontId="0" fillId="13" borderId="85" xfId="0" applyFill="1" applyBorder="1" applyAlignment="1">
      <alignment horizontal="left" vertical="center"/>
    </xf>
    <xf numFmtId="0" fontId="0" fillId="0" borderId="5" xfId="0" applyBorder="1"/>
    <xf numFmtId="0" fontId="0" fillId="0" borderId="0" xfId="0" applyAlignment="1">
      <alignment vertical="center"/>
    </xf>
    <xf numFmtId="0" fontId="24" fillId="0" borderId="0" xfId="0" applyFont="1" applyAlignment="1"/>
    <xf numFmtId="0" fontId="16" fillId="0" borderId="0" xfId="0" applyFont="1" applyAlignment="1"/>
    <xf numFmtId="0" fontId="0" fillId="0" borderId="0" xfId="0" applyAlignment="1"/>
    <xf numFmtId="0" fontId="28" fillId="0" borderId="0" xfId="0" applyFont="1" applyAlignment="1">
      <alignment horizontal="left"/>
    </xf>
    <xf numFmtId="0" fontId="28" fillId="0" borderId="0" xfId="0" applyFont="1" applyAlignment="1">
      <alignment horizontal="left" wrapText="1"/>
    </xf>
    <xf numFmtId="0" fontId="10" fillId="3" borderId="19" xfId="0" applyFont="1" applyFill="1" applyBorder="1" applyAlignment="1">
      <alignment horizontal="left" wrapText="1"/>
    </xf>
    <xf numFmtId="0" fontId="10" fillId="14" borderId="69" xfId="0" applyFont="1" applyFill="1" applyBorder="1" applyAlignment="1">
      <alignment horizontal="left" wrapText="1"/>
    </xf>
    <xf numFmtId="0" fontId="10" fillId="3" borderId="33" xfId="0" applyFont="1" applyFill="1" applyBorder="1" applyAlignment="1">
      <alignment horizontal="left" wrapText="1"/>
    </xf>
    <xf numFmtId="0" fontId="10" fillId="15" borderId="32" xfId="0" applyFont="1" applyFill="1" applyBorder="1" applyAlignment="1">
      <alignment horizontal="left" wrapText="1"/>
    </xf>
    <xf numFmtId="0" fontId="1" fillId="3" borderId="33" xfId="0" applyFont="1" applyFill="1" applyBorder="1" applyAlignment="1">
      <alignment horizontal="left" wrapText="1"/>
    </xf>
    <xf numFmtId="0" fontId="10" fillId="15" borderId="62" xfId="0" applyFont="1" applyFill="1" applyBorder="1" applyAlignment="1">
      <alignment horizontal="left" wrapText="1"/>
    </xf>
    <xf numFmtId="0" fontId="10" fillId="3" borderId="43" xfId="0" applyFont="1" applyFill="1" applyBorder="1" applyAlignment="1">
      <alignment horizontal="left" wrapText="1"/>
    </xf>
    <xf numFmtId="0" fontId="10" fillId="15" borderId="82" xfId="0" applyFont="1" applyFill="1" applyBorder="1" applyAlignment="1">
      <alignment horizontal="left" wrapText="1"/>
    </xf>
    <xf numFmtId="0" fontId="10" fillId="15" borderId="70" xfId="0" applyFont="1" applyFill="1" applyBorder="1" applyAlignment="1">
      <alignment horizontal="left" wrapText="1"/>
    </xf>
    <xf numFmtId="0" fontId="10" fillId="15" borderId="33" xfId="0" applyFont="1" applyFill="1" applyBorder="1" applyAlignment="1">
      <alignment horizontal="left" wrapText="1"/>
    </xf>
    <xf numFmtId="0" fontId="10" fillId="3" borderId="54" xfId="0" applyFont="1" applyFill="1" applyBorder="1" applyAlignment="1">
      <alignment horizontal="left" wrapText="1"/>
    </xf>
    <xf numFmtId="0" fontId="0" fillId="0" borderId="0" xfId="0" applyFont="1" applyAlignment="1">
      <alignment horizontal="left"/>
    </xf>
    <xf numFmtId="0" fontId="31" fillId="14" borderId="69" xfId="0" applyFont="1" applyFill="1" applyBorder="1" applyAlignment="1">
      <alignment horizontal="left" wrapText="1"/>
    </xf>
    <xf numFmtId="0" fontId="31" fillId="3" borderId="33" xfId="0" applyFont="1" applyFill="1" applyBorder="1" applyAlignment="1">
      <alignment horizontal="left" wrapText="1"/>
    </xf>
    <xf numFmtId="0" fontId="10" fillId="3" borderId="32" xfId="0" applyFont="1" applyFill="1" applyBorder="1" applyAlignment="1">
      <alignment horizontal="left" wrapText="1"/>
    </xf>
    <xf numFmtId="0" fontId="11" fillId="3" borderId="54" xfId="0" applyFont="1" applyFill="1" applyBorder="1" applyAlignment="1">
      <alignment horizontal="left" wrapText="1"/>
    </xf>
    <xf numFmtId="0" fontId="33" fillId="3" borderId="33" xfId="0" applyFont="1" applyFill="1" applyBorder="1" applyAlignment="1">
      <alignment horizontal="left" wrapText="1"/>
    </xf>
    <xf numFmtId="0" fontId="10" fillId="4" borderId="33" xfId="0" applyFont="1" applyFill="1" applyBorder="1" applyAlignment="1">
      <alignment horizontal="left" wrapText="1"/>
    </xf>
    <xf numFmtId="0" fontId="10" fillId="14" borderId="104" xfId="0" applyFont="1" applyFill="1" applyBorder="1" applyAlignment="1">
      <alignment horizontal="left" wrapText="1"/>
    </xf>
    <xf numFmtId="0" fontId="10" fillId="4" borderId="38" xfId="0" applyFont="1" applyFill="1" applyBorder="1" applyAlignment="1">
      <alignment horizontal="left" wrapText="1"/>
    </xf>
    <xf numFmtId="0" fontId="10" fillId="14" borderId="70" xfId="0" applyFont="1" applyFill="1" applyBorder="1" applyAlignment="1">
      <alignment horizontal="left" wrapText="1"/>
    </xf>
    <xf numFmtId="0" fontId="0" fillId="3" borderId="73" xfId="0" applyFont="1" applyFill="1" applyBorder="1" applyAlignment="1">
      <alignment horizontal="left" wrapText="1"/>
    </xf>
    <xf numFmtId="0" fontId="10" fillId="3" borderId="82" xfId="0" applyFont="1" applyFill="1" applyBorder="1" applyAlignment="1">
      <alignment horizontal="left" wrapText="1"/>
    </xf>
    <xf numFmtId="0" fontId="10" fillId="3" borderId="70" xfId="0" applyFont="1" applyFill="1" applyBorder="1" applyAlignment="1">
      <alignment horizontal="left" wrapText="1"/>
    </xf>
    <xf numFmtId="0" fontId="10" fillId="5" borderId="73" xfId="0" applyFont="1" applyFill="1" applyBorder="1" applyAlignment="1">
      <alignment horizontal="left" wrapText="1"/>
    </xf>
    <xf numFmtId="0" fontId="35" fillId="3" borderId="43" xfId="0" applyFont="1" applyFill="1" applyBorder="1" applyAlignment="1">
      <alignment horizontal="left" wrapText="1"/>
    </xf>
    <xf numFmtId="0" fontId="10" fillId="5" borderId="76" xfId="0" applyFont="1" applyFill="1" applyBorder="1" applyAlignment="1">
      <alignment horizontal="left" wrapText="1"/>
    </xf>
    <xf numFmtId="0" fontId="35" fillId="3" borderId="33" xfId="0" applyFont="1" applyFill="1" applyBorder="1" applyAlignment="1">
      <alignment horizontal="left" wrapText="1"/>
    </xf>
    <xf numFmtId="0" fontId="10" fillId="5" borderId="33" xfId="0" applyFont="1" applyFill="1" applyBorder="1" applyAlignment="1">
      <alignment horizontal="left" wrapText="1"/>
    </xf>
    <xf numFmtId="0" fontId="6" fillId="3" borderId="54" xfId="0" applyFont="1" applyFill="1" applyBorder="1" applyAlignment="1">
      <alignment horizontal="left" wrapText="1"/>
    </xf>
    <xf numFmtId="0" fontId="6" fillId="3" borderId="33" xfId="0" applyFont="1" applyFill="1" applyBorder="1" applyAlignment="1">
      <alignment horizontal="left" wrapText="1"/>
    </xf>
    <xf numFmtId="0" fontId="10" fillId="14" borderId="77" xfId="0" applyFont="1" applyFill="1" applyBorder="1" applyAlignment="1">
      <alignment horizontal="left" wrapText="1"/>
    </xf>
    <xf numFmtId="0" fontId="10" fillId="14" borderId="76" xfId="0" applyFont="1" applyFill="1" applyBorder="1" applyAlignment="1">
      <alignment horizontal="left" wrapText="1"/>
    </xf>
    <xf numFmtId="0" fontId="10" fillId="3" borderId="38" xfId="0" applyFont="1" applyFill="1" applyBorder="1" applyAlignment="1">
      <alignment horizontal="left" wrapText="1"/>
    </xf>
    <xf numFmtId="0" fontId="10" fillId="3" borderId="77" xfId="0" applyFont="1" applyFill="1" applyBorder="1" applyAlignment="1">
      <alignment horizontal="left" wrapText="1"/>
    </xf>
    <xf numFmtId="0" fontId="10" fillId="12" borderId="33" xfId="0" applyFont="1" applyFill="1" applyBorder="1" applyAlignment="1">
      <alignment horizontal="left" wrapText="1"/>
    </xf>
    <xf numFmtId="0" fontId="10" fillId="12" borderId="82" xfId="0" applyFont="1" applyFill="1" applyBorder="1" applyAlignment="1">
      <alignment horizontal="left" wrapText="1"/>
    </xf>
    <xf numFmtId="0" fontId="10" fillId="12" borderId="70" xfId="0" applyFont="1" applyFill="1" applyBorder="1" applyAlignment="1">
      <alignment horizontal="left" wrapText="1"/>
    </xf>
    <xf numFmtId="0" fontId="10" fillId="12" borderId="71" xfId="0" applyFont="1" applyFill="1" applyBorder="1" applyAlignment="1">
      <alignment horizontal="left" wrapText="1"/>
    </xf>
    <xf numFmtId="0" fontId="10" fillId="6" borderId="82" xfId="0" applyFont="1" applyFill="1" applyBorder="1" applyAlignment="1">
      <alignment horizontal="left" wrapText="1"/>
    </xf>
    <xf numFmtId="0" fontId="11" fillId="3" borderId="70" xfId="0" applyFont="1" applyFill="1" applyBorder="1" applyAlignment="1">
      <alignment horizontal="left" wrapText="1"/>
    </xf>
    <xf numFmtId="0" fontId="10" fillId="6" borderId="76" xfId="0" applyFont="1" applyFill="1" applyBorder="1" applyAlignment="1">
      <alignment horizontal="left" wrapText="1"/>
    </xf>
    <xf numFmtId="0" fontId="10" fillId="6" borderId="33" xfId="0" applyFont="1" applyFill="1" applyBorder="1" applyAlignment="1">
      <alignment horizontal="left" wrapText="1"/>
    </xf>
    <xf numFmtId="0" fontId="1" fillId="3" borderId="54" xfId="0" applyFont="1" applyFill="1" applyBorder="1" applyAlignment="1">
      <alignment horizontal="left" wrapText="1"/>
    </xf>
    <xf numFmtId="0" fontId="10" fillId="9" borderId="82" xfId="0" applyFont="1" applyFill="1" applyBorder="1" applyAlignment="1">
      <alignment horizontal="left" wrapText="1"/>
    </xf>
    <xf numFmtId="0" fontId="10" fillId="9" borderId="70" xfId="0" applyFont="1" applyFill="1" applyBorder="1" applyAlignment="1">
      <alignment horizontal="left" wrapText="1"/>
    </xf>
    <xf numFmtId="0" fontId="10" fillId="9" borderId="33" xfId="0" applyFont="1" applyFill="1" applyBorder="1" applyAlignment="1">
      <alignment horizontal="left" wrapText="1"/>
    </xf>
    <xf numFmtId="0" fontId="10" fillId="6" borderId="70" xfId="0" applyFont="1" applyFill="1" applyBorder="1" applyAlignment="1">
      <alignment horizontal="left" wrapText="1"/>
    </xf>
    <xf numFmtId="0" fontId="10" fillId="14" borderId="98" xfId="0" applyFont="1" applyFill="1" applyBorder="1" applyAlignment="1">
      <alignment horizontal="left" wrapText="1"/>
    </xf>
    <xf numFmtId="0" fontId="10" fillId="3" borderId="117" xfId="0" applyFont="1" applyFill="1" applyBorder="1" applyAlignment="1">
      <alignment horizontal="left" wrapText="1"/>
    </xf>
    <xf numFmtId="0" fontId="10" fillId="10" borderId="118" xfId="0" applyFont="1" applyFill="1" applyBorder="1" applyAlignment="1">
      <alignment horizontal="left" wrapText="1"/>
    </xf>
    <xf numFmtId="0" fontId="10" fillId="14" borderId="38" xfId="0" applyFont="1" applyFill="1" applyBorder="1" applyAlignment="1">
      <alignment horizontal="left" wrapText="1"/>
    </xf>
    <xf numFmtId="0" fontId="10" fillId="3" borderId="92" xfId="0" applyFont="1" applyFill="1" applyBorder="1" applyAlignment="1">
      <alignment horizontal="left" wrapText="1"/>
    </xf>
    <xf numFmtId="0" fontId="10" fillId="14" borderId="110" xfId="0" applyFont="1" applyFill="1" applyBorder="1" applyAlignment="1">
      <alignment horizontal="left" wrapText="1"/>
    </xf>
    <xf numFmtId="0" fontId="10" fillId="3" borderId="35" xfId="0" applyFont="1" applyFill="1" applyBorder="1" applyAlignment="1">
      <alignment horizontal="left" wrapText="1"/>
    </xf>
    <xf numFmtId="0" fontId="28" fillId="0" borderId="0" xfId="0" applyFont="1" applyAlignment="1"/>
    <xf numFmtId="0" fontId="36" fillId="3" borderId="45" xfId="0" applyFont="1" applyFill="1" applyBorder="1" applyAlignment="1">
      <alignment horizontal="left" vertical="center" wrapText="1" readingOrder="1"/>
    </xf>
    <xf numFmtId="0" fontId="36" fillId="3" borderId="17" xfId="0" applyFont="1" applyFill="1" applyBorder="1" applyAlignment="1">
      <alignment horizontal="left" vertical="center" wrapText="1" readingOrder="1"/>
    </xf>
    <xf numFmtId="0" fontId="36" fillId="3" borderId="18" xfId="0" applyFont="1" applyFill="1" applyBorder="1" applyAlignment="1">
      <alignment horizontal="left" vertical="center" wrapText="1" readingOrder="1"/>
    </xf>
    <xf numFmtId="0" fontId="36" fillId="3" borderId="0" xfId="0" applyFont="1" applyFill="1" applyAlignment="1">
      <alignment horizontal="left" vertical="center" wrapText="1" readingOrder="1"/>
    </xf>
    <xf numFmtId="0" fontId="36" fillId="3" borderId="7" xfId="0" applyFont="1" applyFill="1" applyBorder="1" applyAlignment="1">
      <alignment horizontal="left" vertical="center" wrapText="1" readingOrder="1"/>
    </xf>
    <xf numFmtId="0" fontId="36" fillId="3" borderId="44" xfId="0" applyFont="1" applyFill="1" applyBorder="1" applyAlignment="1">
      <alignment horizontal="left" vertical="center" wrapText="1" readingOrder="1"/>
    </xf>
    <xf numFmtId="0" fontId="1" fillId="0" borderId="19" xfId="0" applyFont="1" applyBorder="1" applyAlignment="1">
      <alignment horizontal="left" vertical="center"/>
    </xf>
    <xf numFmtId="0" fontId="0" fillId="13" borderId="68" xfId="0" applyFill="1" applyBorder="1" applyAlignment="1">
      <alignment horizontal="left" vertical="center"/>
    </xf>
    <xf numFmtId="0" fontId="1" fillId="0" borderId="16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top" wrapText="1" readingOrder="1"/>
    </xf>
    <xf numFmtId="0" fontId="4" fillId="0" borderId="12" xfId="0" applyFont="1" applyBorder="1" applyAlignment="1">
      <alignment horizontal="left" vertical="top" wrapText="1" readingOrder="1"/>
    </xf>
    <xf numFmtId="0" fontId="4" fillId="0" borderId="14" xfId="0" applyFont="1" applyBorder="1" applyAlignment="1">
      <alignment horizontal="left" vertical="top" wrapText="1" readingOrder="1"/>
    </xf>
    <xf numFmtId="0" fontId="31" fillId="4" borderId="33" xfId="0" applyFont="1" applyFill="1" applyBorder="1" applyAlignment="1">
      <alignment horizontal="left" wrapText="1"/>
    </xf>
    <xf numFmtId="0" fontId="25" fillId="3" borderId="18" xfId="0" applyFont="1" applyFill="1" applyBorder="1" applyAlignment="1">
      <alignment horizontal="left" vertical="center"/>
    </xf>
    <xf numFmtId="0" fontId="28" fillId="13" borderId="91" xfId="0" applyFont="1" applyFill="1" applyBorder="1" applyAlignment="1">
      <alignment horizontal="left" vertical="center"/>
    </xf>
    <xf numFmtId="0" fontId="36" fillId="3" borderId="107" xfId="0" applyFont="1" applyFill="1" applyBorder="1" applyAlignment="1">
      <alignment horizontal="left" vertical="center" wrapText="1" readingOrder="1"/>
    </xf>
    <xf numFmtId="0" fontId="36" fillId="3" borderId="72" xfId="0" applyFont="1" applyFill="1" applyBorder="1" applyAlignment="1">
      <alignment horizontal="left" vertical="center" wrapText="1" readingOrder="1"/>
    </xf>
    <xf numFmtId="0" fontId="36" fillId="3" borderId="56" xfId="0" applyFont="1" applyFill="1" applyBorder="1" applyAlignment="1">
      <alignment horizontal="left" vertical="center" wrapText="1" readingOrder="1"/>
    </xf>
    <xf numFmtId="0" fontId="13" fillId="2" borderId="107" xfId="0" applyFont="1" applyFill="1" applyBorder="1" applyAlignment="1">
      <alignment horizontal="left" vertical="top" wrapText="1" readingOrder="1"/>
    </xf>
    <xf numFmtId="0" fontId="13" fillId="2" borderId="72" xfId="0" applyFont="1" applyFill="1" applyBorder="1" applyAlignment="1">
      <alignment horizontal="left" vertical="top" wrapText="1" readingOrder="1"/>
    </xf>
    <xf numFmtId="0" fontId="13" fillId="2" borderId="56" xfId="0" applyFont="1" applyFill="1" applyBorder="1" applyAlignment="1">
      <alignment horizontal="left" vertical="top" wrapText="1" readingOrder="1"/>
    </xf>
    <xf numFmtId="0" fontId="36" fillId="3" borderId="46" xfId="0" applyFont="1" applyFill="1" applyBorder="1" applyAlignment="1">
      <alignment horizontal="left" vertical="center" wrapText="1" readingOrder="1"/>
    </xf>
    <xf numFmtId="0" fontId="36" fillId="3" borderId="47" xfId="0" applyFont="1" applyFill="1" applyBorder="1" applyAlignment="1">
      <alignment horizontal="left" vertical="center" wrapText="1" readingOrder="1"/>
    </xf>
    <xf numFmtId="0" fontId="13" fillId="2" borderId="18" xfId="0" applyFont="1" applyFill="1" applyBorder="1" applyAlignment="1">
      <alignment horizontal="left" vertical="top" wrapText="1" readingOrder="1"/>
    </xf>
    <xf numFmtId="0" fontId="13" fillId="2" borderId="19" xfId="0" applyFont="1" applyFill="1" applyBorder="1" applyAlignment="1">
      <alignment horizontal="left" vertical="top" wrapText="1" readingOrder="1"/>
    </xf>
    <xf numFmtId="0" fontId="13" fillId="2" borderId="16" xfId="0" applyFont="1" applyFill="1" applyBorder="1" applyAlignment="1">
      <alignment horizontal="left" vertical="top" wrapText="1" readingOrder="1"/>
    </xf>
    <xf numFmtId="0" fontId="36" fillId="3" borderId="19" xfId="0" applyFont="1" applyFill="1" applyBorder="1" applyAlignment="1">
      <alignment horizontal="left" vertical="center" wrapText="1" readingOrder="1"/>
    </xf>
    <xf numFmtId="0" fontId="36" fillId="3" borderId="16" xfId="0" applyFont="1" applyFill="1" applyBorder="1" applyAlignment="1">
      <alignment horizontal="left" vertical="center" wrapText="1" readingOrder="1"/>
    </xf>
    <xf numFmtId="0" fontId="25" fillId="3" borderId="17" xfId="0" applyFont="1" applyFill="1" applyBorder="1" applyAlignment="1">
      <alignment horizontal="left" vertical="center"/>
    </xf>
    <xf numFmtId="0" fontId="25" fillId="3" borderId="44" xfId="0" applyFont="1" applyFill="1" applyBorder="1" applyAlignment="1">
      <alignment horizontal="left" vertical="center"/>
    </xf>
    <xf numFmtId="0" fontId="0" fillId="0" borderId="18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2" fillId="3" borderId="12" xfId="0" applyFont="1" applyFill="1" applyBorder="1" applyAlignment="1">
      <alignment horizontal="left" vertical="top" wrapText="1"/>
    </xf>
    <xf numFmtId="0" fontId="2" fillId="3" borderId="18" xfId="0" applyFont="1" applyFill="1" applyBorder="1" applyAlignment="1">
      <alignment horizontal="left" vertical="top" wrapText="1"/>
    </xf>
    <xf numFmtId="0" fontId="17" fillId="14" borderId="91" xfId="0" applyFont="1" applyFill="1" applyBorder="1" applyAlignment="1">
      <alignment horizontal="left" vertical="top" wrapText="1"/>
    </xf>
    <xf numFmtId="0" fontId="17" fillId="4" borderId="17" xfId="0" applyFont="1" applyFill="1" applyBorder="1" applyAlignment="1">
      <alignment horizontal="left" vertical="top" wrapText="1"/>
    </xf>
    <xf numFmtId="0" fontId="2" fillId="14" borderId="17" xfId="0" applyFont="1" applyFill="1" applyBorder="1" applyAlignment="1">
      <alignment horizontal="left" vertical="top" wrapText="1"/>
    </xf>
    <xf numFmtId="0" fontId="2" fillId="4" borderId="107" xfId="0" applyFont="1" applyFill="1" applyBorder="1" applyAlignment="1">
      <alignment horizontal="left" vertical="top" wrapText="1"/>
    </xf>
    <xf numFmtId="0" fontId="2" fillId="14" borderId="13" xfId="0" applyFont="1" applyFill="1" applyBorder="1" applyAlignment="1">
      <alignment horizontal="left" vertical="top" wrapText="1"/>
    </xf>
    <xf numFmtId="0" fontId="2" fillId="14" borderId="91" xfId="0" applyFont="1" applyFill="1" applyBorder="1" applyAlignment="1">
      <alignment horizontal="left" vertical="top" wrapText="1"/>
    </xf>
    <xf numFmtId="0" fontId="2" fillId="14" borderId="102" xfId="0" applyFont="1" applyFill="1" applyBorder="1" applyAlignment="1">
      <alignment horizontal="left" vertical="top" wrapText="1"/>
    </xf>
    <xf numFmtId="0" fontId="2" fillId="14" borderId="87" xfId="0" applyFont="1" applyFill="1" applyBorder="1" applyAlignment="1">
      <alignment horizontal="left" vertical="top" wrapText="1"/>
    </xf>
    <xf numFmtId="0" fontId="2" fillId="5" borderId="83" xfId="0" applyFont="1" applyFill="1" applyBorder="1" applyAlignment="1">
      <alignment horizontal="left" vertical="top" wrapText="1"/>
    </xf>
    <xf numFmtId="0" fontId="2" fillId="5" borderId="84" xfId="0" applyFont="1" applyFill="1" applyBorder="1" applyAlignment="1">
      <alignment horizontal="left" vertical="top" wrapText="1"/>
    </xf>
    <xf numFmtId="0" fontId="2" fillId="5" borderId="12" xfId="0" applyFont="1" applyFill="1" applyBorder="1" applyAlignment="1">
      <alignment horizontal="left" vertical="top" wrapText="1"/>
    </xf>
    <xf numFmtId="0" fontId="2" fillId="14" borderId="84" xfId="0" applyFont="1" applyFill="1" applyBorder="1" applyAlignment="1">
      <alignment horizontal="left" vertical="top" wrapText="1"/>
    </xf>
    <xf numFmtId="0" fontId="2" fillId="5" borderId="17" xfId="0" applyFont="1" applyFill="1" applyBorder="1" applyAlignment="1">
      <alignment horizontal="left" vertical="top" wrapText="1"/>
    </xf>
    <xf numFmtId="0" fontId="2" fillId="14" borderId="78" xfId="0" applyFont="1" applyFill="1" applyBorder="1" applyAlignment="1">
      <alignment horizontal="left" vertical="top" wrapText="1"/>
    </xf>
    <xf numFmtId="0" fontId="2" fillId="14" borderId="79" xfId="0" applyFont="1" applyFill="1" applyBorder="1" applyAlignment="1">
      <alignment horizontal="left" vertical="top" wrapText="1"/>
    </xf>
    <xf numFmtId="0" fontId="2" fillId="5" borderId="40" xfId="0" applyFont="1" applyFill="1" applyBorder="1" applyAlignment="1">
      <alignment horizontal="left" vertical="top" wrapText="1"/>
    </xf>
    <xf numFmtId="0" fontId="2" fillId="5" borderId="45" xfId="0" applyFont="1" applyFill="1" applyBorder="1" applyAlignment="1">
      <alignment horizontal="left" vertical="top" wrapText="1"/>
    </xf>
    <xf numFmtId="0" fontId="2" fillId="12" borderId="78" xfId="0" applyFont="1" applyFill="1" applyBorder="1" applyAlignment="1">
      <alignment horizontal="left" vertical="top" wrapText="1"/>
    </xf>
    <xf numFmtId="0" fontId="2" fillId="12" borderId="40" xfId="0" applyFont="1" applyFill="1" applyBorder="1" applyAlignment="1">
      <alignment horizontal="left" vertical="top" wrapText="1"/>
    </xf>
    <xf numFmtId="0" fontId="2" fillId="12" borderId="89" xfId="0" applyFont="1" applyFill="1" applyBorder="1" applyAlignment="1">
      <alignment horizontal="left" vertical="top" wrapText="1"/>
    </xf>
    <xf numFmtId="0" fontId="2" fillId="14" borderId="116" xfId="0" applyFont="1" applyFill="1" applyBorder="1" applyAlignment="1">
      <alignment horizontal="left" vertical="top" wrapText="1"/>
    </xf>
    <xf numFmtId="0" fontId="2" fillId="4" borderId="112" xfId="0" applyFont="1" applyFill="1" applyBorder="1" applyAlignment="1">
      <alignment horizontal="left" vertical="top" wrapText="1"/>
    </xf>
    <xf numFmtId="0" fontId="2" fillId="12" borderId="112" xfId="0" applyFont="1" applyFill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6" fillId="3" borderId="83" xfId="0" applyFont="1" applyFill="1" applyBorder="1" applyAlignment="1">
      <alignment horizontal="left" vertical="center" wrapText="1" readingOrder="1"/>
    </xf>
    <xf numFmtId="0" fontId="36" fillId="3" borderId="108" xfId="0" applyFont="1" applyFill="1" applyBorder="1" applyAlignment="1">
      <alignment horizontal="left" vertical="center" wrapText="1" readingOrder="1"/>
    </xf>
    <xf numFmtId="0" fontId="36" fillId="3" borderId="109" xfId="0" applyFont="1" applyFill="1" applyBorder="1" applyAlignment="1">
      <alignment horizontal="left" vertical="center" wrapText="1" readingOrder="1"/>
    </xf>
    <xf numFmtId="0" fontId="25" fillId="3" borderId="18" xfId="0" applyFont="1" applyFill="1" applyBorder="1" applyAlignment="1">
      <alignment horizontal="left" vertical="center" wrapText="1"/>
    </xf>
    <xf numFmtId="0" fontId="25" fillId="3" borderId="0" xfId="0" applyFont="1" applyFill="1" applyAlignment="1">
      <alignment horizontal="left" vertical="center" wrapText="1"/>
    </xf>
    <xf numFmtId="0" fontId="25" fillId="3" borderId="17" xfId="0" applyFont="1" applyFill="1" applyBorder="1" applyAlignment="1">
      <alignment horizontal="left" vertical="center" wrapText="1"/>
    </xf>
    <xf numFmtId="0" fontId="25" fillId="3" borderId="44" xfId="0" applyFont="1" applyFill="1" applyBorder="1" applyAlignment="1">
      <alignment horizontal="left" vertical="center" wrapText="1"/>
    </xf>
    <xf numFmtId="0" fontId="25" fillId="3" borderId="114" xfId="0" applyFont="1" applyFill="1" applyBorder="1" applyAlignment="1">
      <alignment horizontal="left" vertical="center" wrapText="1"/>
    </xf>
    <xf numFmtId="0" fontId="25" fillId="3" borderId="94" xfId="0" applyFont="1" applyFill="1" applyBorder="1" applyAlignment="1">
      <alignment horizontal="left" vertical="center" wrapText="1"/>
    </xf>
    <xf numFmtId="0" fontId="25" fillId="3" borderId="122" xfId="0" applyFont="1" applyFill="1" applyBorder="1" applyAlignment="1">
      <alignment horizontal="left" vertical="center" wrapText="1"/>
    </xf>
    <xf numFmtId="0" fontId="0" fillId="0" borderId="115" xfId="0" applyBorder="1" applyAlignment="1">
      <alignment horizontal="center" vertical="top"/>
    </xf>
    <xf numFmtId="0" fontId="0" fillId="0" borderId="95" xfId="0" applyBorder="1" applyAlignment="1">
      <alignment horizontal="center" vertical="top"/>
    </xf>
    <xf numFmtId="0" fontId="0" fillId="0" borderId="96" xfId="0" applyBorder="1" applyAlignment="1">
      <alignment horizontal="center" vertical="top"/>
    </xf>
    <xf numFmtId="0" fontId="0" fillId="13" borderId="113" xfId="0" applyFill="1" applyBorder="1" applyAlignment="1">
      <alignment horizontal="left" vertical="center"/>
    </xf>
    <xf numFmtId="0" fontId="0" fillId="13" borderId="97" xfId="0" applyFill="1" applyBorder="1" applyAlignment="1">
      <alignment horizontal="left" vertical="center" wrapText="1"/>
    </xf>
    <xf numFmtId="0" fontId="0" fillId="13" borderId="97" xfId="0" applyFill="1" applyBorder="1" applyAlignment="1">
      <alignment horizontal="left" vertical="center"/>
    </xf>
    <xf numFmtId="0" fontId="0" fillId="13" borderId="121" xfId="0" applyFill="1" applyBorder="1" applyAlignment="1">
      <alignment horizontal="left" vertical="center"/>
    </xf>
    <xf numFmtId="0" fontId="0" fillId="13" borderId="39" xfId="0" applyFill="1" applyBorder="1" applyAlignment="1">
      <alignment horizontal="left" vertical="center" wrapText="1"/>
    </xf>
    <xf numFmtId="0" fontId="36" fillId="3" borderId="112" xfId="0" applyFont="1" applyFill="1" applyBorder="1" applyAlignment="1">
      <alignment horizontal="left" vertical="center" wrapText="1" readingOrder="1"/>
    </xf>
    <xf numFmtId="0" fontId="36" fillId="3" borderId="124" xfId="0" applyFont="1" applyFill="1" applyBorder="1" applyAlignment="1">
      <alignment horizontal="left" vertical="center" wrapText="1" readingOrder="1"/>
    </xf>
    <xf numFmtId="0" fontId="10" fillId="3" borderId="15" xfId="0" applyFont="1" applyFill="1" applyBorder="1" applyAlignment="1">
      <alignment horizontal="left" wrapText="1"/>
    </xf>
    <xf numFmtId="0" fontId="10" fillId="4" borderId="32" xfId="0" applyFont="1" applyFill="1" applyBorder="1" applyAlignment="1">
      <alignment horizontal="left" wrapText="1"/>
    </xf>
    <xf numFmtId="0" fontId="10" fillId="7" borderId="38" xfId="0" applyFont="1" applyFill="1" applyBorder="1" applyAlignment="1">
      <alignment horizontal="left" wrapText="1"/>
    </xf>
    <xf numFmtId="0" fontId="10" fillId="7" borderId="33" xfId="0" applyFont="1" applyFill="1" applyBorder="1" applyAlignment="1">
      <alignment horizontal="left" wrapText="1"/>
    </xf>
    <xf numFmtId="0" fontId="10" fillId="7" borderId="82" xfId="0" applyFont="1" applyFill="1" applyBorder="1" applyAlignment="1">
      <alignment horizontal="left" wrapText="1"/>
    </xf>
    <xf numFmtId="0" fontId="10" fillId="7" borderId="70" xfId="0" applyFont="1" applyFill="1" applyBorder="1" applyAlignment="1">
      <alignment horizontal="left" wrapText="1"/>
    </xf>
    <xf numFmtId="0" fontId="10" fillId="7" borderId="73" xfId="0" applyFont="1" applyFill="1" applyBorder="1" applyAlignment="1">
      <alignment horizontal="left" wrapText="1"/>
    </xf>
    <xf numFmtId="0" fontId="1" fillId="0" borderId="19" xfId="0" applyFont="1" applyBorder="1" applyAlignment="1">
      <alignment horizontal="left" vertical="center" wrapText="1"/>
    </xf>
    <xf numFmtId="0" fontId="0" fillId="3" borderId="11" xfId="0" applyFill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3" borderId="15" xfId="0" applyFill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08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108" xfId="0" applyBorder="1" applyAlignment="1">
      <alignment horizontal="center" vertical="center" wrapText="1"/>
    </xf>
    <xf numFmtId="0" fontId="0" fillId="0" borderId="66" xfId="0" applyBorder="1" applyAlignment="1">
      <alignment horizontal="center" vertical="center" wrapText="1"/>
    </xf>
    <xf numFmtId="0" fontId="0" fillId="0" borderId="109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39" xfId="0" applyBorder="1" applyAlignment="1">
      <alignment horizontal="center" vertical="center" wrapText="1"/>
    </xf>
    <xf numFmtId="0" fontId="0" fillId="0" borderId="85" xfId="0" applyBorder="1" applyAlignment="1">
      <alignment horizontal="center" vertical="center"/>
    </xf>
    <xf numFmtId="0" fontId="1" fillId="0" borderId="9" xfId="0" applyFont="1" applyBorder="1" applyAlignment="1">
      <alignment horizontal="left" vertical="center" wrapText="1"/>
    </xf>
    <xf numFmtId="0" fontId="0" fillId="13" borderId="28" xfId="0" applyFill="1" applyBorder="1" applyAlignment="1">
      <alignment horizontal="left" vertical="center" wrapText="1"/>
    </xf>
    <xf numFmtId="0" fontId="0" fillId="13" borderId="28" xfId="0" applyFill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25" fillId="3" borderId="19" xfId="0" applyFont="1" applyFill="1" applyBorder="1" applyAlignment="1">
      <alignment horizontal="left" vertical="center" wrapText="1"/>
    </xf>
    <xf numFmtId="0" fontId="25" fillId="3" borderId="16" xfId="0" applyFont="1" applyFill="1" applyBorder="1" applyAlignment="1">
      <alignment horizontal="left" vertical="center" wrapText="1"/>
    </xf>
    <xf numFmtId="0" fontId="1" fillId="0" borderId="0" xfId="0" applyFont="1"/>
    <xf numFmtId="0" fontId="31" fillId="4" borderId="62" xfId="0" applyFont="1" applyFill="1" applyBorder="1" applyAlignment="1">
      <alignment horizontal="left" wrapText="1"/>
    </xf>
    <xf numFmtId="0" fontId="10" fillId="14" borderId="29" xfId="0" applyFont="1" applyFill="1" applyBorder="1" applyAlignment="1">
      <alignment horizontal="left" wrapText="1"/>
    </xf>
    <xf numFmtId="0" fontId="10" fillId="3" borderId="100" xfId="0" applyFont="1" applyFill="1" applyBorder="1" applyAlignment="1">
      <alignment horizontal="left" wrapText="1"/>
    </xf>
    <xf numFmtId="0" fontId="10" fillId="11" borderId="60" xfId="0" applyFont="1" applyFill="1" applyBorder="1" applyAlignment="1">
      <alignment horizontal="left" wrapText="1"/>
    </xf>
    <xf numFmtId="0" fontId="10" fillId="14" borderId="99" xfId="0" applyFont="1" applyFill="1" applyBorder="1" applyAlignment="1">
      <alignment horizontal="left" wrapText="1"/>
    </xf>
    <xf numFmtId="0" fontId="10" fillId="3" borderId="93" xfId="0" applyFont="1" applyFill="1" applyBorder="1" applyAlignment="1">
      <alignment horizontal="left" wrapText="1"/>
    </xf>
    <xf numFmtId="0" fontId="10" fillId="3" borderId="59" xfId="0" applyFont="1" applyFill="1" applyBorder="1" applyAlignment="1">
      <alignment horizontal="left" wrapText="1"/>
    </xf>
    <xf numFmtId="0" fontId="0" fillId="0" borderId="20" xfId="0" applyBorder="1" applyAlignment="1">
      <alignment horizontal="left" vertical="center" wrapText="1"/>
    </xf>
    <xf numFmtId="0" fontId="0" fillId="0" borderId="34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13" borderId="65" xfId="0" applyFill="1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0" fillId="0" borderId="54" xfId="0" applyBorder="1" applyAlignment="1">
      <alignment horizontal="left" vertical="center" wrapText="1"/>
    </xf>
    <xf numFmtId="0" fontId="0" fillId="13" borderId="69" xfId="0" applyFill="1" applyBorder="1" applyAlignment="1">
      <alignment horizontal="left" vertical="center"/>
    </xf>
    <xf numFmtId="0" fontId="25" fillId="3" borderId="31" xfId="0" applyFont="1" applyFill="1" applyBorder="1" applyAlignment="1">
      <alignment horizontal="left" vertical="center"/>
    </xf>
    <xf numFmtId="0" fontId="25" fillId="3" borderId="19" xfId="0" applyFont="1" applyFill="1" applyBorder="1" applyAlignment="1">
      <alignment horizontal="left" vertical="center"/>
    </xf>
    <xf numFmtId="0" fontId="25" fillId="3" borderId="33" xfId="0" applyFont="1" applyFill="1" applyBorder="1" applyAlignment="1">
      <alignment horizontal="left" vertical="center"/>
    </xf>
    <xf numFmtId="0" fontId="25" fillId="3" borderId="31" xfId="0" applyFont="1" applyFill="1" applyBorder="1" applyAlignment="1">
      <alignment horizontal="left" vertical="center" wrapText="1"/>
    </xf>
    <xf numFmtId="0" fontId="25" fillId="3" borderId="33" xfId="0" applyFont="1" applyFill="1" applyBorder="1" applyAlignment="1">
      <alignment horizontal="left" vertical="center" wrapText="1"/>
    </xf>
    <xf numFmtId="0" fontId="31" fillId="4" borderId="76" xfId="0" applyFont="1" applyFill="1" applyBorder="1" applyAlignment="1">
      <alignment horizontal="left" wrapText="1"/>
    </xf>
    <xf numFmtId="0" fontId="1" fillId="0" borderId="12" xfId="0" applyFont="1" applyBorder="1" applyAlignment="1">
      <alignment horizontal="left" vertical="center"/>
    </xf>
    <xf numFmtId="0" fontId="0" fillId="13" borderId="84" xfId="0" applyFill="1" applyBorder="1" applyAlignment="1">
      <alignment horizontal="left" vertical="center" wrapText="1"/>
    </xf>
    <xf numFmtId="0" fontId="0" fillId="13" borderId="89" xfId="0" applyFill="1" applyBorder="1" applyAlignment="1">
      <alignment horizontal="left" vertical="center"/>
    </xf>
    <xf numFmtId="0" fontId="1" fillId="0" borderId="18" xfId="0" applyFont="1" applyBorder="1" applyAlignment="1">
      <alignment horizontal="left" vertical="center"/>
    </xf>
    <xf numFmtId="0" fontId="0" fillId="13" borderId="45" xfId="0" applyFill="1" applyBorder="1" applyAlignment="1">
      <alignment horizontal="left" vertical="center"/>
    </xf>
    <xf numFmtId="0" fontId="0" fillId="13" borderId="66" xfId="0" applyFill="1" applyBorder="1" applyAlignment="1">
      <alignment horizontal="left" vertical="center" wrapText="1"/>
    </xf>
    <xf numFmtId="0" fontId="0" fillId="13" borderId="67" xfId="0" applyFill="1" applyBorder="1" applyAlignment="1">
      <alignment horizontal="left" vertical="center"/>
    </xf>
    <xf numFmtId="0" fontId="0" fillId="13" borderId="55" xfId="0" applyFill="1" applyBorder="1" applyAlignment="1">
      <alignment horizontal="left" vertical="center" wrapText="1"/>
    </xf>
    <xf numFmtId="0" fontId="0" fillId="13" borderId="57" xfId="0" applyFill="1" applyBorder="1" applyAlignment="1">
      <alignment horizontal="left" vertical="center"/>
    </xf>
    <xf numFmtId="0" fontId="0" fillId="13" borderId="7" xfId="0" applyFill="1" applyBorder="1" applyAlignment="1">
      <alignment horizontal="left" vertical="center"/>
    </xf>
    <xf numFmtId="0" fontId="25" fillId="3" borderId="45" xfId="0" applyFont="1" applyFill="1" applyBorder="1" applyAlignment="1">
      <alignment horizontal="left" vertical="center" wrapText="1"/>
    </xf>
    <xf numFmtId="0" fontId="25" fillId="3" borderId="7" xfId="0" applyFont="1" applyFill="1" applyBorder="1" applyAlignment="1">
      <alignment horizontal="left" vertical="center" wrapText="1"/>
    </xf>
    <xf numFmtId="0" fontId="10" fillId="14" borderId="71" xfId="0" applyFont="1" applyFill="1" applyBorder="1" applyAlignment="1">
      <alignment horizontal="left" wrapText="1"/>
    </xf>
    <xf numFmtId="0" fontId="10" fillId="14" borderId="43" xfId="0" applyFont="1" applyFill="1" applyBorder="1" applyAlignment="1">
      <alignment horizontal="left" wrapText="1"/>
    </xf>
    <xf numFmtId="0" fontId="10" fillId="8" borderId="33" xfId="0" applyFont="1" applyFill="1" applyBorder="1" applyAlignment="1">
      <alignment horizontal="left" wrapText="1"/>
    </xf>
    <xf numFmtId="0" fontId="34" fillId="0" borderId="0" xfId="0" applyFont="1" applyAlignment="1">
      <alignment horizontal="left"/>
    </xf>
    <xf numFmtId="0" fontId="25" fillId="3" borderId="45" xfId="0" applyFont="1" applyFill="1" applyBorder="1" applyAlignment="1">
      <alignment horizontal="left" vertical="center"/>
    </xf>
    <xf numFmtId="0" fontId="25" fillId="3" borderId="7" xfId="0" applyFont="1" applyFill="1" applyBorder="1" applyAlignment="1">
      <alignment horizontal="left" vertical="center"/>
    </xf>
    <xf numFmtId="0" fontId="26" fillId="12" borderId="18" xfId="0" applyFont="1" applyFill="1" applyBorder="1" applyAlignment="1">
      <alignment horizontal="left" vertical="top" wrapText="1"/>
    </xf>
    <xf numFmtId="0" fontId="10" fillId="3" borderId="11" xfId="0" applyFont="1" applyFill="1" applyBorder="1" applyAlignment="1">
      <alignment horizontal="left" wrapText="1"/>
    </xf>
    <xf numFmtId="0" fontId="10" fillId="4" borderId="10" xfId="0" applyFont="1" applyFill="1" applyBorder="1" applyAlignment="1">
      <alignment horizontal="left" wrapText="1"/>
    </xf>
    <xf numFmtId="0" fontId="10" fillId="14" borderId="91" xfId="0" applyFont="1" applyFill="1" applyBorder="1" applyAlignment="1">
      <alignment horizontal="left" wrapText="1"/>
    </xf>
    <xf numFmtId="0" fontId="10" fillId="4" borderId="19" xfId="0" applyFont="1" applyFill="1" applyBorder="1" applyAlignment="1">
      <alignment horizontal="left" wrapText="1"/>
    </xf>
    <xf numFmtId="0" fontId="36" fillId="3" borderId="11" xfId="0" applyFont="1" applyFill="1" applyBorder="1" applyAlignment="1">
      <alignment horizontal="left" vertical="center" wrapText="1" readingOrder="1"/>
    </xf>
    <xf numFmtId="0" fontId="36" fillId="3" borderId="15" xfId="0" applyFont="1" applyFill="1" applyBorder="1" applyAlignment="1">
      <alignment horizontal="left" vertical="center" wrapText="1" readingOrder="1"/>
    </xf>
    <xf numFmtId="0" fontId="6" fillId="17" borderId="9" xfId="0" applyFont="1" applyFill="1" applyBorder="1"/>
    <xf numFmtId="0" fontId="22" fillId="17" borderId="9" xfId="0" applyFont="1" applyFill="1" applyBorder="1"/>
    <xf numFmtId="0" fontId="22" fillId="17" borderId="20" xfId="0" applyFont="1" applyFill="1" applyBorder="1"/>
    <xf numFmtId="0" fontId="6" fillId="17" borderId="21" xfId="0" applyFont="1" applyFill="1" applyBorder="1"/>
    <xf numFmtId="0" fontId="22" fillId="17" borderId="21" xfId="0" applyFont="1" applyFill="1" applyBorder="1"/>
    <xf numFmtId="0" fontId="22" fillId="17" borderId="22" xfId="0" applyFont="1" applyFill="1" applyBorder="1"/>
    <xf numFmtId="0" fontId="22" fillId="17" borderId="23" xfId="0" applyFont="1" applyFill="1" applyBorder="1"/>
    <xf numFmtId="0" fontId="22" fillId="17" borderId="24" xfId="0" applyFont="1" applyFill="1" applyBorder="1"/>
    <xf numFmtId="0" fontId="6" fillId="17" borderId="23" xfId="0" applyFont="1" applyFill="1" applyBorder="1"/>
    <xf numFmtId="0" fontId="6" fillId="17" borderId="25" xfId="0" applyFont="1" applyFill="1" applyBorder="1"/>
    <xf numFmtId="0" fontId="6" fillId="17" borderId="26" xfId="0" applyFont="1" applyFill="1" applyBorder="1"/>
    <xf numFmtId="0" fontId="22" fillId="17" borderId="26" xfId="0" applyFont="1" applyFill="1" applyBorder="1"/>
    <xf numFmtId="0" fontId="22" fillId="17" borderId="27" xfId="0" applyFont="1" applyFill="1" applyBorder="1"/>
    <xf numFmtId="0" fontId="30" fillId="0" borderId="0" xfId="0" applyFont="1" applyFill="1" applyBorder="1"/>
    <xf numFmtId="0" fontId="0" fillId="0" borderId="0" xfId="0" applyFill="1" applyBorder="1"/>
    <xf numFmtId="0" fontId="37" fillId="16" borderId="127" xfId="0" applyFont="1" applyFill="1" applyBorder="1" applyAlignment="1">
      <alignment horizontal="left" wrapText="1"/>
    </xf>
    <xf numFmtId="0" fontId="29" fillId="16" borderId="128" xfId="0" applyFont="1" applyFill="1" applyBorder="1" applyAlignment="1">
      <alignment horizontal="left" wrapText="1"/>
    </xf>
    <xf numFmtId="0" fontId="37" fillId="16" borderId="128" xfId="0" applyFont="1" applyFill="1" applyBorder="1" applyAlignment="1">
      <alignment horizontal="left" wrapText="1"/>
    </xf>
    <xf numFmtId="0" fontId="37" fillId="16" borderId="129" xfId="0" applyFont="1" applyFill="1" applyBorder="1" applyAlignment="1">
      <alignment horizontal="left" wrapText="1"/>
    </xf>
    <xf numFmtId="0" fontId="22" fillId="17" borderId="23" xfId="0" applyFont="1" applyFill="1" applyBorder="1" applyAlignment="1">
      <alignment horizontal="left" vertical="top"/>
    </xf>
    <xf numFmtId="0" fontId="6" fillId="17" borderId="24" xfId="0" applyFont="1" applyFill="1" applyBorder="1"/>
    <xf numFmtId="0" fontId="21" fillId="17" borderId="25" xfId="0" applyFont="1" applyFill="1" applyBorder="1" applyAlignment="1">
      <alignment horizontal="left" vertical="top"/>
    </xf>
    <xf numFmtId="0" fontId="6" fillId="17" borderId="27" xfId="0" applyFont="1" applyFill="1" applyBorder="1"/>
    <xf numFmtId="0" fontId="0" fillId="17" borderId="24" xfId="0" applyFill="1" applyBorder="1"/>
    <xf numFmtId="0" fontId="0" fillId="17" borderId="27" xfId="0" applyFill="1" applyBorder="1"/>
    <xf numFmtId="0" fontId="0" fillId="0" borderId="9" xfId="0" applyBorder="1" applyAlignment="1">
      <alignment vertical="center"/>
    </xf>
    <xf numFmtId="0" fontId="0" fillId="0" borderId="9" xfId="0" applyBorder="1" applyAlignment="1">
      <alignment vertical="center" wrapText="1"/>
    </xf>
    <xf numFmtId="0" fontId="1" fillId="4" borderId="127" xfId="0" applyFont="1" applyFill="1" applyBorder="1" applyAlignment="1">
      <alignment horizontal="left" wrapText="1"/>
    </xf>
    <xf numFmtId="0" fontId="1" fillId="4" borderId="128" xfId="0" applyFont="1" applyFill="1" applyBorder="1" applyAlignment="1">
      <alignment horizontal="left" wrapText="1"/>
    </xf>
    <xf numFmtId="0" fontId="1" fillId="3" borderId="128" xfId="0" applyFont="1" applyFill="1" applyBorder="1" applyAlignment="1">
      <alignment wrapText="1"/>
    </xf>
    <xf numFmtId="0" fontId="1" fillId="4" borderId="128" xfId="0" applyFont="1" applyFill="1" applyBorder="1" applyAlignment="1">
      <alignment wrapText="1"/>
    </xf>
    <xf numFmtId="0" fontId="1" fillId="4" borderId="129" xfId="0" applyFont="1" applyFill="1" applyBorder="1" applyAlignment="1">
      <alignment wrapText="1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top"/>
    </xf>
    <xf numFmtId="0" fontId="0" fillId="0" borderId="21" xfId="0" applyBorder="1" applyAlignment="1">
      <alignment vertical="center"/>
    </xf>
    <xf numFmtId="0" fontId="0" fillId="0" borderId="21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 wrapText="1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top"/>
    </xf>
    <xf numFmtId="0" fontId="0" fillId="0" borderId="26" xfId="0" applyBorder="1" applyAlignment="1">
      <alignment vertical="center"/>
    </xf>
    <xf numFmtId="0" fontId="0" fillId="0" borderId="26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0" fillId="2" borderId="0" xfId="0" applyFill="1" applyAlignment="1"/>
    <xf numFmtId="0" fontId="1" fillId="0" borderId="20" xfId="0" applyFont="1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4" fillId="3" borderId="31" xfId="0" applyFont="1" applyFill="1" applyBorder="1" applyAlignment="1">
      <alignment horizontal="left" vertical="center" wrapText="1" readingOrder="1"/>
    </xf>
    <xf numFmtId="0" fontId="0" fillId="0" borderId="21" xfId="0" applyBorder="1" applyAlignment="1">
      <alignment horizontal="left" vertical="center" wrapText="1"/>
    </xf>
    <xf numFmtId="0" fontId="0" fillId="0" borderId="22" xfId="0" applyBorder="1" applyAlignment="1">
      <alignment horizontal="left" vertical="center"/>
    </xf>
    <xf numFmtId="0" fontId="1" fillId="0" borderId="23" xfId="0" applyFont="1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 wrapText="1" readingOrder="1"/>
    </xf>
    <xf numFmtId="0" fontId="0" fillId="0" borderId="26" xfId="0" applyBorder="1" applyAlignment="1">
      <alignment horizontal="left" vertical="center" wrapText="1"/>
    </xf>
    <xf numFmtId="0" fontId="0" fillId="0" borderId="27" xfId="0" applyBorder="1" applyAlignment="1">
      <alignment horizontal="left" vertical="center"/>
    </xf>
    <xf numFmtId="0" fontId="1" fillId="3" borderId="128" xfId="0" applyFont="1" applyFill="1" applyBorder="1" applyAlignment="1">
      <alignment horizontal="left" wrapText="1"/>
    </xf>
    <xf numFmtId="0" fontId="1" fillId="4" borderId="129" xfId="0" applyFont="1" applyFill="1" applyBorder="1" applyAlignment="1">
      <alignment horizontal="left" wrapText="1"/>
    </xf>
    <xf numFmtId="0" fontId="5" fillId="0" borderId="20" xfId="0" applyFont="1" applyBorder="1" applyAlignment="1">
      <alignment horizontal="left" vertical="top" wrapText="1" readingOrder="1"/>
    </xf>
    <xf numFmtId="0" fontId="6" fillId="0" borderId="21" xfId="0" applyFont="1" applyBorder="1" applyAlignment="1">
      <alignment horizontal="left" vertical="top" readingOrder="1"/>
    </xf>
    <xf numFmtId="0" fontId="4" fillId="0" borderId="125" xfId="0" applyFont="1" applyBorder="1" applyAlignment="1">
      <alignment horizontal="left" vertical="center" wrapText="1" readingOrder="1"/>
    </xf>
    <xf numFmtId="0" fontId="0" fillId="0" borderId="21" xfId="0" applyBorder="1" applyAlignment="1">
      <alignment vertical="top" wrapText="1"/>
    </xf>
    <xf numFmtId="0" fontId="0" fillId="0" borderId="22" xfId="0" applyBorder="1" applyAlignment="1">
      <alignment vertical="top"/>
    </xf>
    <xf numFmtId="0" fontId="1" fillId="0" borderId="23" xfId="0" applyFont="1" applyBorder="1" applyAlignment="1">
      <alignment vertical="top" wrapText="1"/>
    </xf>
    <xf numFmtId="0" fontId="0" fillId="0" borderId="24" xfId="0" applyBorder="1" applyAlignment="1">
      <alignment vertical="top"/>
    </xf>
    <xf numFmtId="0" fontId="1" fillId="0" borderId="23" xfId="0" applyFont="1" applyBorder="1" applyAlignment="1">
      <alignment vertical="top"/>
    </xf>
    <xf numFmtId="0" fontId="5" fillId="0" borderId="23" xfId="0" applyFont="1" applyBorder="1" applyAlignment="1">
      <alignment horizontal="left" vertical="top" wrapText="1" readingOrder="1"/>
    </xf>
    <xf numFmtId="0" fontId="1" fillId="0" borderId="25" xfId="0" applyFont="1" applyBorder="1" applyAlignment="1">
      <alignment vertical="top"/>
    </xf>
    <xf numFmtId="0" fontId="4" fillId="0" borderId="126" xfId="0" applyFont="1" applyBorder="1" applyAlignment="1">
      <alignment horizontal="left" vertical="center" wrapText="1" readingOrder="1"/>
    </xf>
    <xf numFmtId="0" fontId="0" fillId="0" borderId="26" xfId="0" applyBorder="1" applyAlignment="1">
      <alignment vertical="top" wrapText="1"/>
    </xf>
    <xf numFmtId="0" fontId="0" fillId="0" borderId="27" xfId="0" applyBorder="1" applyAlignment="1">
      <alignment vertical="top"/>
    </xf>
    <xf numFmtId="0" fontId="11" fillId="0" borderId="0" xfId="0" applyFont="1"/>
    <xf numFmtId="0" fontId="11" fillId="13" borderId="24" xfId="0" applyFont="1" applyFill="1" applyBorder="1" applyAlignment="1">
      <alignment horizontal="center" vertical="center" wrapText="1"/>
    </xf>
    <xf numFmtId="0" fontId="0" fillId="13" borderId="23" xfId="0" applyFill="1" applyBorder="1" applyAlignment="1">
      <alignment vertical="top" wrapText="1"/>
    </xf>
    <xf numFmtId="0" fontId="0" fillId="13" borderId="9" xfId="0" applyFill="1" applyBorder="1" applyAlignment="1">
      <alignment vertical="top" wrapText="1"/>
    </xf>
    <xf numFmtId="0" fontId="0" fillId="13" borderId="24" xfId="0" applyFill="1" applyBorder="1" applyAlignment="1">
      <alignment vertical="top" wrapText="1"/>
    </xf>
    <xf numFmtId="0" fontId="1" fillId="12" borderId="23" xfId="0" applyFont="1" applyFill="1" applyBorder="1" applyAlignment="1">
      <alignment vertical="center"/>
    </xf>
    <xf numFmtId="0" fontId="0" fillId="13" borderId="24" xfId="0" applyFill="1" applyBorder="1" applyAlignment="1">
      <alignment vertical="center"/>
    </xf>
    <xf numFmtId="0" fontId="1" fillId="12" borderId="25" xfId="0" applyFont="1" applyFill="1" applyBorder="1" applyAlignment="1">
      <alignment vertical="center"/>
    </xf>
    <xf numFmtId="0" fontId="0" fillId="13" borderId="27" xfId="0" applyFill="1" applyBorder="1" applyAlignment="1">
      <alignment vertical="center"/>
    </xf>
    <xf numFmtId="0" fontId="0" fillId="13" borderId="52" xfId="0" applyFill="1" applyBorder="1" applyAlignment="1">
      <alignment vertical="top" wrapText="1"/>
    </xf>
    <xf numFmtId="0" fontId="0" fillId="13" borderId="42" xfId="0" applyFill="1" applyBorder="1" applyAlignment="1">
      <alignment vertical="top" wrapText="1"/>
    </xf>
    <xf numFmtId="0" fontId="0" fillId="13" borderId="53" xfId="0" applyFill="1" applyBorder="1" applyAlignment="1">
      <alignment vertical="top" wrapText="1"/>
    </xf>
    <xf numFmtId="0" fontId="11" fillId="5" borderId="130" xfId="0" applyFont="1" applyFill="1" applyBorder="1" applyAlignment="1">
      <alignment vertical="center" wrapText="1"/>
    </xf>
    <xf numFmtId="0" fontId="11" fillId="13" borderId="131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0" xfId="0" applyBorder="1"/>
    <xf numFmtId="0" fontId="1" fillId="5" borderId="20" xfId="0" applyFont="1" applyFill="1" applyBorder="1" applyAlignment="1">
      <alignment vertical="center"/>
    </xf>
    <xf numFmtId="0" fontId="0" fillId="13" borderId="22" xfId="0" applyFill="1" applyBorder="1" applyAlignment="1">
      <alignment vertical="center"/>
    </xf>
    <xf numFmtId="0" fontId="1" fillId="5" borderId="23" xfId="0" applyFont="1" applyFill="1" applyBorder="1" applyAlignment="1">
      <alignment vertical="center"/>
    </xf>
    <xf numFmtId="0" fontId="1" fillId="5" borderId="25" xfId="0" applyFont="1" applyFill="1" applyBorder="1" applyAlignment="1">
      <alignment vertical="center"/>
    </xf>
    <xf numFmtId="0" fontId="0" fillId="0" borderId="7" xfId="0" applyBorder="1" applyAlignment="1">
      <alignment wrapText="1"/>
    </xf>
    <xf numFmtId="0" fontId="0" fillId="0" borderId="0" xfId="0" applyBorder="1" applyAlignment="1">
      <alignment wrapText="1"/>
    </xf>
    <xf numFmtId="0" fontId="2" fillId="14" borderId="83" xfId="0" applyFont="1" applyFill="1" applyBorder="1" applyAlignment="1">
      <alignment horizontal="left" vertical="top" wrapText="1"/>
    </xf>
    <xf numFmtId="0" fontId="10" fillId="14" borderId="82" xfId="0" applyFont="1" applyFill="1" applyBorder="1" applyAlignment="1">
      <alignment horizontal="left" wrapText="1"/>
    </xf>
    <xf numFmtId="0" fontId="0" fillId="13" borderId="132" xfId="0" applyFill="1" applyBorder="1" applyAlignment="1">
      <alignment horizontal="left" vertical="center"/>
    </xf>
    <xf numFmtId="0" fontId="0" fillId="13" borderId="133" xfId="0" applyFill="1" applyBorder="1" applyAlignment="1">
      <alignment horizontal="left" vertical="center"/>
    </xf>
    <xf numFmtId="0" fontId="0" fillId="13" borderId="134" xfId="0" applyFill="1" applyBorder="1" applyAlignment="1">
      <alignment horizontal="left" vertical="center"/>
    </xf>
    <xf numFmtId="0" fontId="2" fillId="6" borderId="51" xfId="0" applyFont="1" applyFill="1" applyBorder="1" applyAlignment="1">
      <alignment horizontal="left" vertical="top" wrapText="1"/>
    </xf>
    <xf numFmtId="0" fontId="10" fillId="3" borderId="25" xfId="0" applyFont="1" applyFill="1" applyBorder="1" applyAlignment="1">
      <alignment horizontal="left" wrapText="1"/>
    </xf>
    <xf numFmtId="0" fontId="0" fillId="0" borderId="51" xfId="0" applyBorder="1" applyAlignment="1">
      <alignment horizontal="left" vertical="center"/>
    </xf>
    <xf numFmtId="0" fontId="0" fillId="0" borderId="52" xfId="0" applyBorder="1" applyAlignment="1">
      <alignment horizontal="left" vertical="center"/>
    </xf>
    <xf numFmtId="0" fontId="2" fillId="8" borderId="114" xfId="0" applyFont="1" applyFill="1" applyBorder="1" applyAlignment="1">
      <alignment horizontal="left" vertical="top" wrapText="1"/>
    </xf>
    <xf numFmtId="0" fontId="2" fillId="8" borderId="115" xfId="0" applyFont="1" applyFill="1" applyBorder="1" applyAlignment="1">
      <alignment horizontal="left" vertical="top" wrapText="1"/>
    </xf>
    <xf numFmtId="0" fontId="10" fillId="8" borderId="118" xfId="0" applyFont="1" applyFill="1" applyBorder="1" applyAlignment="1">
      <alignment horizontal="left" wrapText="1"/>
    </xf>
    <xf numFmtId="0" fontId="10" fillId="3" borderId="14" xfId="0" applyFont="1" applyFill="1" applyBorder="1" applyAlignment="1">
      <alignment horizontal="left" wrapText="1"/>
    </xf>
    <xf numFmtId="0" fontId="31" fillId="4" borderId="25" xfId="0" applyFont="1" applyFill="1" applyBorder="1" applyAlignment="1">
      <alignment horizontal="left" wrapText="1"/>
    </xf>
    <xf numFmtId="0" fontId="31" fillId="4" borderId="54" xfId="0" applyFont="1" applyFill="1" applyBorder="1" applyAlignment="1">
      <alignment horizontal="left" wrapText="1"/>
    </xf>
    <xf numFmtId="0" fontId="2" fillId="11" borderId="12" xfId="0" applyFont="1" applyFill="1" applyBorder="1" applyAlignment="1">
      <alignment horizontal="left" vertical="top"/>
    </xf>
    <xf numFmtId="0" fontId="10" fillId="11" borderId="10" xfId="0" applyFont="1" applyFill="1" applyBorder="1" applyAlignment="1">
      <alignment horizontal="left" wrapText="1"/>
    </xf>
    <xf numFmtId="0" fontId="0" fillId="0" borderId="19" xfId="0" applyFont="1" applyBorder="1" applyAlignment="1">
      <alignment horizontal="left" vertical="top"/>
    </xf>
    <xf numFmtId="0" fontId="0" fillId="0" borderId="16" xfId="0" applyFont="1" applyBorder="1" applyAlignment="1">
      <alignment horizontal="left" vertical="top"/>
    </xf>
    <xf numFmtId="0" fontId="0" fillId="0" borderId="10" xfId="0" applyFont="1" applyBorder="1" applyAlignment="1">
      <alignment horizontal="left" vertical="top"/>
    </xf>
    <xf numFmtId="0" fontId="0" fillId="0" borderId="14" xfId="0" applyFont="1" applyBorder="1" applyAlignment="1">
      <alignment horizontal="left" vertical="top"/>
    </xf>
  </cellXfs>
  <cellStyles count="2">
    <cellStyle name="Normal" xfId="0" builtinId="0"/>
    <cellStyle name="Normal 2" xfId="1" xr:uid="{3506A47F-B4DD-483F-821A-CE6A9E7C5DCE}"/>
  </cellStyles>
  <dxfs count="269"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theme="0"/>
      </font>
      <fill>
        <patternFill>
          <bgColor theme="2"/>
        </patternFill>
      </fill>
    </dxf>
    <dxf>
      <font>
        <b val="0"/>
        <i val="0"/>
        <color theme="0"/>
      </font>
      <fill>
        <patternFill>
          <bgColor theme="2"/>
        </patternFill>
      </fill>
    </dxf>
    <dxf>
      <font>
        <b val="0"/>
        <i val="0"/>
        <color theme="0"/>
      </font>
      <fill>
        <patternFill>
          <bgColor theme="2"/>
        </patternFill>
      </fill>
    </dxf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theme="4"/>
        </right>
        <top style="thin">
          <color theme="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Leelawadee UI"/>
        <family val="2"/>
        <scheme val="minor"/>
      </font>
      <alignment horizontal="left" vertical="center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Leelawadee UI"/>
        <family val="2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Leelawadee UI"/>
        <family val="2"/>
        <scheme val="minor"/>
      </font>
      <numFmt numFmtId="0" formatCode="General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Leelawadee UI"/>
        <family val="2"/>
        <scheme val="minor"/>
      </font>
      <numFmt numFmtId="0" formatCode="General"/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/>
        <right/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Leelawadee UI"/>
        <family val="2"/>
        <scheme val="minor"/>
      </font>
      <alignment horizontal="left" vertical="center" textRotation="0" indent="0" justifyLastLine="0" shrinkToFit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Leelawadee UI"/>
        <family val="2"/>
        <scheme val="minor"/>
      </font>
      <alignment horizontal="left" vertical="center" textRotation="0" indent="0" justifyLastLine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Leelawadee UI"/>
        <family val="2"/>
        <scheme val="minor"/>
      </font>
      <alignment horizontal="left" vertical="center" textRotation="0" indent="0" justifyLastLine="0" shrinkToFit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bottom style="medium">
          <color indexed="64"/>
        </bottom>
      </border>
    </dxf>
    <dxf>
      <alignment horizontal="general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Gill Sans MT"/>
        <family val="2"/>
        <scheme val="major"/>
      </font>
    </dxf>
    <dxf>
      <alignment horizontal="left" vertical="top" textRotation="0" wrapText="0" indent="0" justifyLastLine="0" shrinkToFit="0" readingOrder="0"/>
      <border diagonalUp="0" diagonalDown="0">
        <left style="medium">
          <color auto="1"/>
        </left>
        <right style="dotted">
          <color auto="1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</dxf>
    <dxf>
      <alignment horizontal="left" vertical="top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/>
        <name val="Leelawadee UI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2"/>
        <name val="Leelawadee U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left" vertical="top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numFmt numFmtId="0" formatCode="General"/>
      <alignment horizontal="left" vertical="top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left" vertical="top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/>
        <top/>
        <bottom style="thin">
          <color indexed="64"/>
        </bottom>
        <vertical/>
        <horizontal/>
      </border>
    </dxf>
    <dxf>
      <font>
        <b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</font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>
        <left style="dott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otted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 style="dotted">
          <color indexed="64"/>
        </vertical>
        <horizontal style="thin">
          <color indexed="64"/>
        </horizontal>
      </border>
    </dxf>
    <dxf>
      <font>
        <b/>
      </font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 style="dotted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numFmt numFmtId="0" formatCode="General"/>
      <alignment horizontal="left" vertical="top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left" vertical="top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none">
          <bgColor auto="1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dotted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none">
          <bgColor auto="1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</dxf>
    <dxf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none"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none">
          <bgColor auto="1"/>
        </patternFill>
      </fill>
      <alignment horizontal="left" vertical="top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/>
        <right style="medium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/>
        <sz val="9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0"/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medium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/>
        <sz val="9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0"/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medium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/>
        <sz val="9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0"/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/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medium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/>
        <sz val="9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0"/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left" vertical="top" textRotation="0" wrapText="0" indent="0" justifyLastLine="0" shrinkToFit="0" readingOrder="0"/>
    </dxf>
    <dxf>
      <border outline="0">
        <bottom style="thin">
          <color rgb="FF000000"/>
        </bottom>
      </border>
    </dxf>
    <dxf>
      <alignment horizontal="left" vertical="top" textRotation="0" wrapText="1" indent="0" justifyLastLine="0" shrinkToFit="0" readingOrder="0"/>
      <border diagonalUp="0" diagonalDown="0">
        <left style="dotted">
          <color auto="1"/>
        </left>
        <right/>
        <top style="thin">
          <color indexed="64"/>
        </top>
        <bottom style="thin">
          <color indexed="64"/>
        </bottom>
        <vertical style="dotted">
          <color auto="1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otted">
          <color auto="1"/>
        </left>
        <right style="dotted">
          <color auto="1"/>
        </right>
        <top style="thin">
          <color indexed="64"/>
        </top>
        <bottom style="thin">
          <color indexed="64"/>
        </bottom>
        <vertical style="dotted">
          <color auto="1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/>
        <right style="dotted">
          <color auto="1"/>
        </right>
        <top style="thin">
          <color indexed="64"/>
        </top>
        <bottom style="thin">
          <color indexed="64"/>
        </bottom>
        <vertical style="dotted">
          <color auto="1"/>
        </vertical>
        <horizontal/>
      </border>
    </dxf>
    <dxf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/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/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0.14999847407452621"/>
        </patternFill>
      </fill>
      <alignment horizontal="lef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ouble">
          <color theme="2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0.14999847407452621"/>
        </patternFill>
      </fill>
      <alignment horizontal="lef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0.14999847407452621"/>
        </patternFill>
      </fill>
      <alignment horizontal="lef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auto="1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left" vertical="top" textRotation="0" wrapText="0" indent="0" justifyLastLine="0" shrinkToFit="0" readingOrder="0"/>
    </dxf>
    <dxf>
      <border outline="0"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/>
        <sz val="9"/>
        <color rgb="FF000000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0.14999847407452621"/>
        </patternFill>
      </fill>
      <alignment horizontal="left" vertical="top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 style="dotted">
          <color indexed="64"/>
        </vertical>
        <horizontal/>
      </border>
    </dxf>
    <dxf>
      <fill>
        <patternFill patternType="solid">
          <fgColor indexed="64"/>
          <bgColor theme="0" tint="-0.14999847407452621"/>
        </patternFill>
      </fill>
      <alignment horizontal="left" vertical="top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 style="dotted">
          <color indexed="64"/>
        </vertical>
        <horizontal/>
      </border>
    </dxf>
    <dxf>
      <fill>
        <patternFill patternType="solid">
          <fgColor indexed="64"/>
          <bgColor theme="0" tint="-0.14999847407452621"/>
        </patternFill>
      </fill>
      <alignment horizontal="left" vertical="top" textRotation="0" wrapText="0" indent="0" justifyLastLine="0" shrinkToFit="0" readingOrder="0"/>
      <border diagonalUp="0" diagonalDown="0">
        <left/>
        <right style="dotted">
          <color indexed="64"/>
        </right>
        <top style="thin">
          <color indexed="64"/>
        </top>
        <bottom style="thin">
          <color indexed="64"/>
        </bottom>
        <vertical style="dott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/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/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center" textRotation="0" wrapText="1" indent="0" justifyLastLine="0" shrinkToFit="0" readingOrder="1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</font>
      <fill>
        <patternFill patternType="solid">
          <fgColor indexed="64"/>
          <bgColor theme="0" tint="-0.14999847407452621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left" vertical="top" textRotation="0" wrapText="0" indent="0" justifyLastLine="0" shrinkToFit="0" readingOrder="0"/>
    </dxf>
    <dxf>
      <border outline="0">
        <bottom style="thin">
          <color rgb="FF000000"/>
        </bottom>
      </border>
    </dxf>
    <dxf>
      <fill>
        <patternFill patternType="solid">
          <fgColor indexed="64"/>
          <bgColor theme="0" tint="-0.14999847407452621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sz val="9"/>
        <color rgb="FF000000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/>
        <right/>
        <top/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0.14999847407452621"/>
        </patternFill>
      </fill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sz val="9"/>
        <color rgb="FF000000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 style="dashed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Leelawadee UI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 style="dashed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ott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medium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/>
        <sz val="9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0"/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double">
          <color theme="2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medium">
          <color theme="1"/>
        </right>
        <top style="thin">
          <color theme="1"/>
        </top>
        <bottom style="thin">
          <color theme="1"/>
        </bottom>
        <vertical/>
        <horizontal style="thin">
          <color theme="1"/>
        </horizontal>
      </border>
    </dxf>
    <dxf>
      <font>
        <b/>
        <sz val="9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0"/>
      <border diagonalUp="0" diagonalDown="0">
        <left/>
        <right/>
        <top style="thin">
          <color theme="1"/>
        </top>
        <bottom style="thin">
          <color theme="1"/>
        </bottom>
        <vertical/>
        <horizontal style="thin">
          <color theme="1"/>
        </horizontal>
      </border>
    </dxf>
    <dxf>
      <alignment horizontal="left" vertical="top" textRotation="0" wrapText="0" indent="0" justifyLastLine="0" shrinkToFit="0" readingOrder="0"/>
      <border diagonalUp="0" diagonalDown="0">
        <left style="medium">
          <color theme="1"/>
        </left>
        <right style="dotted">
          <color theme="1"/>
        </right>
        <top style="thin">
          <color theme="1"/>
        </top>
        <bottom style="thin">
          <color theme="1"/>
        </bottom>
        <vertical/>
        <horizontal style="thin">
          <color theme="1"/>
        </horizontal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dotted">
          <color indexed="64"/>
        </right>
        <top/>
        <bottom style="thin">
          <color indexed="64"/>
        </bottom>
        <vertical/>
        <horizontal/>
      </border>
    </dxf>
    <dxf>
      <font>
        <b/>
        <sz val="9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dotted">
          <color indexed="64"/>
        </right>
        <top/>
        <bottom style="thin">
          <color indexed="64"/>
        </bottom>
        <vertical/>
        <horizontal/>
      </border>
    </dxf>
    <dxf>
      <font>
        <b/>
        <sz val="9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Leelawadee U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Leelawadee U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Leelawadee U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Leelawadee U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Leelawadee U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dotted">
          <color indexed="64"/>
        </right>
        <top/>
        <bottom style="thin">
          <color indexed="64"/>
        </bottom>
        <vertical/>
        <horizontal/>
      </border>
    </dxf>
    <dxf>
      <font>
        <b/>
        <sz val="9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color rgb="FF000000"/>
      </font>
      <alignment horizontal="left" vertical="top" textRotation="0" wrapText="1" indent="0" justifyLastLine="0" shrinkToFit="0" readingOrder="0"/>
      <border diagonalUp="0" diagonalDown="0">
        <left style="dotted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dotted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 style="dotted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 style="dotted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/>
        <right style="dotted">
          <color indexed="64"/>
        </right>
        <top/>
        <bottom style="thin">
          <color indexed="64"/>
        </bottom>
        <vertical style="dotted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sz val="9"/>
        <color rgb="FF000000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/>
        <right style="dott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medium">
          <color indexed="64"/>
        </right>
        <top/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dotted">
          <color indexed="64"/>
        </right>
        <top/>
        <bottom style="thin">
          <color indexed="64"/>
        </bottom>
        <vertical/>
        <horizontal/>
      </border>
    </dxf>
    <dxf>
      <font>
        <b/>
        <sz val="9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dotted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numFmt numFmtId="0" formatCode="General"/>
      <fill>
        <patternFill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/>
        <top/>
        <bottom style="thin">
          <color indexed="64"/>
        </bottom>
        <vertical/>
      </border>
    </dxf>
    <dxf>
      <font>
        <color rgb="FF000000"/>
      </font>
      <alignment horizontal="lef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left" vertical="top" textRotation="0" wrapText="0" indent="0" justifyLastLine="0" shrinkToFit="0" readingOrder="0"/>
      <border diagonalUp="0" diagonalDown="0">
        <left/>
        <right style="dashed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top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medium">
          <color auto="1"/>
        </left>
        <right style="dotted">
          <color auto="1"/>
        </right>
        <top style="thin">
          <color indexed="64"/>
        </top>
        <bottom style="thin">
          <color indexed="64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dashed">
          <color auto="1"/>
        </left>
        <right style="double">
          <color theme="2"/>
        </right>
        <top style="thin">
          <color indexed="64"/>
        </top>
        <bottom style="thin">
          <color indexed="64"/>
        </bottom>
        <vertical style="dashed">
          <color auto="1"/>
        </vertical>
        <horizontal/>
      </border>
    </dxf>
    <dxf>
      <font>
        <b/>
        <sz val="9"/>
        <color rgb="FF000000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alignment horizontal="left" vertical="top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/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otted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dott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 style="dotted">
          <color indexed="64"/>
        </vertical>
        <horizontal/>
      </border>
    </dxf>
    <dxf>
      <font>
        <b/>
        <color auto="1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1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/>
        <sz val="9"/>
        <color rgb="FF000000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/>
        <right/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Leelawadee U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1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ill>
        <patternFill patternType="solid">
          <fgColor indexed="64"/>
          <bgColor theme="0" tint="-0.14999847407452621"/>
        </patternFill>
      </fill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sz val="9"/>
        <color rgb="FF000000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color auto="1"/>
      </font>
      <fill>
        <patternFill patternType="solid">
          <fgColor indexed="64"/>
          <bgColor theme="0" tint="-0.14999847407452621"/>
        </patternFill>
      </fill>
      <alignment horizontal="left" vertical="top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/>
        <color auto="1"/>
      </font>
      <fill>
        <patternFill patternType="solid">
          <fgColor indexed="64"/>
          <bgColor theme="0" tint="-0.14999847407452621"/>
        </patternFill>
      </fill>
      <alignment horizontal="left" vertical="top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 style="dotted">
          <color indexed="64"/>
        </vertical>
        <horizontal style="thin">
          <color indexed="64"/>
        </horizontal>
      </border>
    </dxf>
    <dxf>
      <font>
        <b/>
        <color auto="1"/>
      </font>
      <fill>
        <patternFill patternType="solid">
          <fgColor indexed="64"/>
          <bgColor theme="0" tint="-0.14999847407452621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 style="dotted">
          <color indexed="64"/>
        </vertical>
        <horizontal style="thin">
          <color indexed="64"/>
        </horizontal>
      </border>
    </dxf>
    <dxf>
      <font>
        <b/>
        <color auto="1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1"/>
      <border diagonalUp="0" diagonalDown="0">
        <left style="dotted">
          <color auto="1"/>
        </left>
        <right style="medium">
          <color auto="1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 style="dotted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Leelawadee U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1"/>
      <border diagonalUp="0" diagonalDown="0">
        <left style="dotted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 style="dotted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Leelawadee U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1"/>
      <border diagonalUp="0" diagonalDown="0">
        <left style="dotted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 style="dotted">
          <color indexed="64"/>
        </vertical>
        <horizontal style="thin">
          <color indexed="64"/>
        </horizontal>
      </border>
    </dxf>
    <dxf>
      <font>
        <b/>
        <sz val="9"/>
        <color rgb="FF000000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 style="dotted">
          <color auto="1"/>
        </left>
        <right/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ill>
        <patternFill patternType="solid">
          <fgColor indexed="64"/>
          <bgColor theme="0" tint="-0.14999847407452621"/>
        </patternFill>
      </fill>
      <alignment horizontal="left" vertical="top" textRotation="0" wrapText="0" indent="0" justifyLastLine="0" shrinkToFit="0" readingOrder="0"/>
      <border diagonalUp="0" diagonalDown="0">
        <left style="dotted">
          <color auto="1"/>
        </left>
        <right style="dotted">
          <color auto="1"/>
        </right>
        <top style="thin">
          <color indexed="64"/>
        </top>
        <bottom/>
        <vertical/>
      </border>
    </dxf>
    <dxf>
      <fill>
        <patternFill patternType="solid">
          <fgColor indexed="64"/>
          <bgColor theme="0" tint="-0.14999847407452621"/>
        </patternFill>
      </fill>
      <alignment horizontal="left" vertical="top" textRotation="0" wrapText="0" indent="0" justifyLastLine="0" shrinkToFit="0" readingOrder="0"/>
      <border diagonalUp="0" diagonalDown="0">
        <left style="dotted">
          <color auto="1"/>
        </left>
        <right style="dotted">
          <color auto="1"/>
        </right>
        <top style="thin">
          <color indexed="64"/>
        </top>
        <bottom/>
      </border>
    </dxf>
    <dxf>
      <fill>
        <patternFill patternType="solid">
          <fgColor indexed="64"/>
          <bgColor theme="0" tint="-0.14999847407452621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 style="dotted">
          <color auto="1"/>
        </right>
        <top style="thin">
          <color indexed="64"/>
        </top>
        <bottom/>
      </border>
    </dxf>
    <dxf>
      <alignment horizontal="left" vertical="center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dotted">
          <color indexed="64"/>
        </right>
        <top/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>
          <fgColor indexed="64"/>
          <bgColor theme="0" tint="-0.14999847407452621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/>
      </border>
    </dxf>
    <dxf>
      <alignment horizontal="left" vertical="center" textRotation="0" wrapText="0" indent="0" justifyLastLine="0" shrinkToFit="0" readingOrder="0"/>
      <border diagonalUp="0" diagonalDown="0">
        <left/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/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center" textRotation="0" wrapText="1" indent="0" justifyLastLine="0" shrinkToFit="0" readingOrder="1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/>
        <sz val="9"/>
        <color rgb="FF000000"/>
      </font>
      <fill>
        <patternFill patternType="solid">
          <fgColor indexed="64"/>
          <bgColor rgb="FFE3FCFD"/>
        </patternFill>
      </fill>
      <alignment horizontal="left" vertical="center" textRotation="0" wrapText="1" indent="0" justifyLastLine="0" shrinkToFit="0" readingOrder="1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center" textRotation="0" wrapText="1" indent="0" justifyLastLine="0" shrinkToFit="0" readingOrder="1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Leelawadee UI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1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Leelawadee UI"/>
        <family val="2"/>
        <scheme val="minor"/>
      </font>
      <fill>
        <patternFill patternType="solid">
          <fgColor indexed="64"/>
          <bgColor rgb="FFE3FCFD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numFmt numFmtId="0" formatCode="General"/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/>
        <sz val="9"/>
        <color rgb="FF000000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dotted">
          <color indexed="64"/>
        </right>
        <top style="thin">
          <color indexed="64"/>
        </top>
        <bottom style="thin">
          <color indexed="64"/>
        </bottom>
        <vertic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center" textRotation="0" wrapText="1" indent="0" justifyLastLine="0" shrinkToFit="0" readingOrder="1"/>
      <border diagonalUp="0" diagonalDown="0">
        <left style="thin">
          <color indexed="64"/>
        </left>
        <right/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left" vertical="top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Leelawadee UI"/>
        <family val="2"/>
        <scheme val="minor"/>
      </font>
      <alignment horizontal="left" vertical="center" textRotation="0" indent="0" justifyLastLine="0" shrinkToFit="0"/>
    </dxf>
    <dxf>
      <border outline="0">
        <left style="thin">
          <color indexed="64"/>
        </left>
        <top style="thin">
          <color indexed="64"/>
        </top>
      </border>
    </dxf>
  </dxfs>
  <tableStyles count="0" defaultTableStyle="TableStyleMedium2" defaultPivotStyle="PivotStyleLight16"/>
  <colors>
    <mruColors>
      <color rgb="FFCCFF99"/>
      <color rgb="FFCCCCFF"/>
      <color rgb="FFFF66FF"/>
      <color rgb="FFFFCC66"/>
      <color rgb="FFE3FCFD"/>
      <color rgb="FFFFABAB"/>
      <color rgb="FFFFE1E1"/>
      <color rgb="FFFFCC99"/>
      <color rgb="FF66FF66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105013</xdr:rowOff>
    </xdr:from>
    <xdr:to>
      <xdr:col>2</xdr:col>
      <xdr:colOff>266027</xdr:colOff>
      <xdr:row>0</xdr:row>
      <xdr:rowOff>824537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465F16-60A0-4EF2-B4E6-A5C3D96EF3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5725" y="105013"/>
          <a:ext cx="2999702" cy="71952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9AE8440-44F3-4E52-9C95-961B5F72496F}" name="Assets" displayName="Assets" ref="A1:K50" totalsRowShown="0" headerRowDxfId="33" headerRowBorderDxfId="34" tableBorderDxfId="268">
  <autoFilter ref="A1:K50" xr:uid="{29AE8440-44F3-4E52-9C95-961B5F72496F}"/>
  <tableColumns count="11">
    <tableColumn id="1" xr3:uid="{3E1E1FDE-FB4D-4494-B22E-DB1B76B192EA}" name="Asset ID_x000a_Free text" dataDxfId="32"/>
    <tableColumn id="2" xr3:uid="{961071B3-7F8B-467E-AF07-054E1A6CF0FA}" name="Description_x000a_Free text" dataDxfId="31"/>
    <tableColumn id="3" xr3:uid="{EAB86FF1-117F-4A98-8347-5FC65B82618D}" name="Type of asset_x000a_Dropdown menu" dataDxfId="30"/>
    <tableColumn id="10" xr3:uid="{735D0707-DE9F-43D3-BA00-01C86D9C16F8}" name="Parameter or Function?_x000a_Dropdown menu" dataDxfId="29"/>
    <tableColumn id="4" xr3:uid="{1EFD4AAD-A794-4078-AC3C-2C755B64F496}" name="Criticity_x000a_Dropdown menu" dataDxfId="28"/>
    <tableColumn id="11" xr3:uid="{989C372C-C69D-4A9B-BD4A-A8CD8B6FB186}" name="Interfaces by which this asset is accessible_x000a_Autofill" dataDxfId="27">
      <calculatedColumnFormula>M2</calculatedColumnFormula>
    </tableColumn>
    <tableColumn id="5" xr3:uid="{F3C4A1CA-9F4F-4C7F-8A95-5B6815B03960}" name="Entities that can access this asset_x000a_Autofill" dataDxfId="26">
      <calculatedColumnFormula>O2</calculatedColumnFormula>
    </tableColumn>
    <tableColumn id="6" xr3:uid="{E23906F3-6FE5-4544-AEEC-41659E8AA6B3}" name="Is it stored persistently on the equipment?_x000a_Dropdown menu. If yes, [SSM] is applicable" dataDxfId="25"/>
    <tableColumn id="7" xr3:uid="{9189DA91-59F0-4CCA-9492-D35F12F65DC9}" name="Is it accessible/sent via a network?_x000a_Dropdown menu. If yes, [SCM] is applicable" dataDxfId="24"/>
    <tableColumn id="8" xr3:uid="{96417A43-AEFC-4FB2-9CE1-C14C1CEFF1C2}" name="Is it a CONFIDENTIAL (= secret) cryptographic key?_x000a_Dropdown menu. If yes, [CCK] is applicable" dataDxfId="23"/>
    <tableColumn id="9" xr3:uid="{30EC2B0B-FE43-4F5C-80C8-D7E8421A0F7C}" name="Is there any cryptography used in the asset or to protect the asset?_x000a_Dropdown meny. If yes, [CRY] is applicable" dataDxfId="22"/>
  </tableColumns>
  <tableStyleInfo name="TableStyleMedium23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569AB98B-C591-4F6E-BBE4-D004ACD8BD88}" name="EInfo_GEC8" displayName="EInfo_GEC8" ref="A2:F50" totalsRowShown="0" dataDxfId="74" headerRowBorderDxfId="75" tableBorderDxfId="73">
  <autoFilter ref="A2:F50" xr:uid="{A79549A3-8B68-4822-BE36-B1A0EA3A4F63}"/>
  <tableColumns count="6">
    <tableColumn id="1" xr3:uid="{DCA2BFEE-1325-4990-9CD6-F477AD7C3CDD}" name="Software parts" dataDxfId="72"/>
    <tableColumn id="92" xr3:uid="{68CCC3CF-91DF-4657-A298-42E2C9E4171A}" name="E.Info.DT.GEC-8" dataDxfId="71"/>
    <tableColumn id="15" xr3:uid="{9FD5FF8A-2EA1-4A3D-82AE-1C469F8C4C83}" name="PartOfSoftw" dataDxfId="70"/>
    <tableColumn id="14" xr3:uid="{EE982077-035E-4676-A4AC-3ED70F8E2B61}" name="Integrity protection" dataDxfId="69">
      <calculatedColumnFormula>Interfaces!F1</calculatedColumnFormula>
    </tableColumn>
    <tableColumn id="26" xr3:uid="{176979D1-F1A2-41E3-8E0A-7EC02A7BCF35}" name="BootProcess, BootProcess.*" dataDxfId="68"/>
    <tableColumn id="25" xr3:uid="{8F92B49D-F640-4094-8F42-E22548FF22D6}" name="Description of secure boot" dataDxfId="67"/>
  </tableColumns>
  <tableStyleInfo name="TableStyleMedium23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BC7F16-FCA3-449B-909A-C21A08F14708}" name="EInfo_CRY" displayName="EInfo_CRY" ref="A2:F51" totalsRowShown="0" headerRowDxfId="54" dataDxfId="65" headerRowBorderDxfId="66" tableBorderDxfId="64">
  <autoFilter ref="A2:F51" xr:uid="{A79549A3-8B68-4822-BE36-B1A0EA3A4F63}"/>
  <tableColumns count="6">
    <tableColumn id="1" xr3:uid="{4A03771E-8D34-473D-9BCF-57998BA6CCE0}" name="Cryptopraphy" dataDxfId="63"/>
    <tableColumn id="8" xr3:uid="{071955DF-E085-4AEF-AF5C-E8F7C38BA0D7}" name="Assets" dataDxfId="62"/>
    <tableColumn id="6" xr3:uid="{70D55E9E-C4A9-44B9-8315-D4058B8C6C13}" name="List of assets using this cryptography" dataDxfId="61"/>
    <tableColumn id="10" xr3:uid="{5FE410DC-DE77-4CB0-84C3-ED7FD0CF9E2E}" name="E.Info.DT.CRY-1" dataDxfId="60"/>
    <tableColumn id="7" xr3:uid="{92A9F625-8B66-4A64-AEC5-13FD5DFA28E1}" name="Assets.Cryptography, Assets.Crytpography.Deviation" dataDxfId="59">
      <calculatedColumnFormula>IF($A3&lt;&gt;"",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calculatedColumnFormula>
    </tableColumn>
    <tableColumn id="5" xr3:uid="{426F80B1-AA47-495F-8B5E-839532765DEE}" name="Description of cryptography" dataDxfId="58"/>
  </tableColumns>
  <tableStyleInfo name="TableStyleMedium2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BC980DD-90A0-472B-B120-77F2402AB501}" name="Interfaces" displayName="Interfaces" ref="A1:H50" totalsRowShown="0" headerRowDxfId="43" dataDxfId="267" headerRowBorderDxfId="44" tableBorderDxfId="266" totalsRowBorderDxfId="265">
  <autoFilter ref="A1:H50" xr:uid="{BBC980DD-90A0-472B-B120-77F2402AB501}"/>
  <tableColumns count="8">
    <tableColumn id="1" xr3:uid="{B3601D32-4141-41D0-AB63-2167582CEE80}" name="Interface ID_x000a_Free text" dataDxfId="42"/>
    <tableColumn id="2" xr3:uid="{194E460F-418B-4C47-9BDC-5AE59D011861}" name="Description_x000a_Free text" dataDxfId="41"/>
    <tableColumn id="3" xr3:uid="{B9CF7C26-B98A-4160-9D02-814CFEEE1734}" name="Type of interface_x000a_Dropdown menu" dataDxfId="40"/>
    <tableColumn id="9" xr3:uid="{DA8E7889-87CF-42A9-81F1-437DEA24C2AD}" name="Media for this interface_x000a_Dropdown menu" dataDxfId="39"/>
    <tableColumn id="8" xr3:uid="{C7AB6693-933E-4164-9054-15AAF6C9A009}" name="Entities that can access this interface_x000a_Autofill" dataDxfId="38">
      <calculatedColumnFormula>IF(Interfaces[[#This Row],[Interface ID
Free text]]&lt;&gt;"", J2, "")</calculatedColumnFormula>
    </tableColumn>
    <tableColumn id="5" xr3:uid="{CFB080CE-9F30-4D56-9546-8CB98990ADE0}" name="Assets accessible from this interface_x000a_Autofill" dataDxfId="37">
      <calculatedColumnFormula>IF(Interfaces[[#This Row],[Interface ID
Free text]]&lt;&gt;"", K2, "")</calculatedColumnFormula>
    </tableColumn>
    <tableColumn id="4" xr3:uid="{8DFEDB2C-12BC-49A2-A612-86C460E51206}" name="External *physical* interface?_x000a_Dropdown menu_x000a_If yes, [GEC-5] is applicable" dataDxfId="36"/>
    <tableColumn id="6" xr3:uid="{B51BFE06-4E6E-4748-AF72-DF7D8C5706E8}" name="Is the interface a sensor?_x000a_Dropdown menu_x000a_If yes, [GEC-7] is applicable._x000a_Only for EN 18031-2" dataDxfId="35"/>
  </tableColumns>
  <tableStyleInfo name="TableStyleMedium2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55F671F-CCE5-4B15-B4B0-F50DC9FCF098}" name="Entities" displayName="Entities" ref="A1:F50" totalsRowShown="0" headerRowDxfId="45" dataDxfId="53" headerRowBorderDxfId="52" tableBorderDxfId="264" totalsRowBorderDxfId="263">
  <autoFilter ref="A1:F50" xr:uid="{355F671F-CCE5-4B15-B4B0-F50DC9FCF098}"/>
  <tableColumns count="6">
    <tableColumn id="1" xr3:uid="{594EB200-D2FF-4964-895C-F97C5317F75C}" name="Entity ID_x000a_Free text" dataDxfId="51"/>
    <tableColumn id="2" xr3:uid="{758AE9E3-EA4F-4146-AF8B-6657ACB49B98}" name="Description_x000a_Free text" dataDxfId="50"/>
    <tableColumn id="3" xr3:uid="{40FACC36-96F8-41B0-BECA-56D76ED7CEE8}" name="Type of Entity_x000a_Dropdown menu" dataDxfId="49"/>
    <tableColumn id="7" xr3:uid="{265B64B2-582B-4CB2-898C-0230589A0924}" name="Is the entity a child?_x000a_Dropdown menu_x000a_If yes, [ACM-3] to [ACM-6] are applicable" dataDxfId="48"/>
    <tableColumn id="5" xr3:uid="{69B5C57C-233C-41AC-BA4E-AB83AE2F3D02}" name="Assets accessible by this entity_x000a_Free Text_x000a_From the tab &quot;Assets&quot;" dataDxfId="47">
      <calculatedColumnFormula>H2</calculatedColumnFormula>
    </tableColumn>
    <tableColumn id="4" xr3:uid="{9E303E21-4F17-4214-8278-382790B937B8}" name="Interfaces accessible by this entity_x000a_Free Text_x000a_From the tab &quot;Interfaces&quot;" dataDxfId="46">
      <calculatedColumnFormula>I2</calculatedColumnFormula>
    </tableColumn>
  </tableColumns>
  <tableStyleInfo name="TableStyleMedium2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79549A3-8B68-4822-BE36-B1A0EA3A4F63}" name="EInfo_ACM" displayName="EInfo_ACM" ref="A2:CY51" totalsRowShown="0" headerRowDxfId="56" dataDxfId="261" headerRowBorderDxfId="262" tableBorderDxfId="260">
  <autoFilter ref="A2:CY51" xr:uid="{A79549A3-8B68-4822-BE36-B1A0EA3A4F63}"/>
  <tableColumns count="103">
    <tableColumn id="1" xr3:uid="{9229A8F2-D375-474D-A02C-0FEAC803E94E}" name="Assets" dataDxfId="259"/>
    <tableColumn id="84" xr3:uid="{EDB23DAC-9999-4E0C-B417-DAFC801F7A10}" name="Type" dataDxfId="258"/>
    <tableColumn id="2" xr3:uid="{5E35A9E8-1D0F-4D7C-BCD5-1838799BFB84}" name="E.Info.DT.ACM-1" dataDxfId="257"/>
    <tableColumn id="87" xr3:uid="{AB3E9553-BB15-49CC-AA46-7F73BAE918E8}" name="Asset" dataDxfId="256">
      <calculatedColumnFormula array="1">IF(EInfo_ACM[[#This Row],[Type]]&lt;&gt;"", _xlfn.TEXTJOIN(", "&amp;CHAR(10), TRUE, "E.Info."&amp;_xlfn.TEXTSPLIT($D$1,, ", ")&amp;"."&amp;EInfo_ACM[[#This Row],[Type]]&amp;"Asset"), "")</calculatedColumnFormula>
    </tableColumn>
    <tableColumn id="83" xr3:uid="{42B5BA7A-617A-4654-BF66-C89614E3E185}" name="Description of assets" dataDxfId="255"/>
    <tableColumn id="81" xr3:uid="{6142AE91-35ED-492E-BF27-AC549833A59B}" name="Access" dataDxfId="254">
      <calculatedColumnFormula>"E.Info."&amp;EInfo_ACM[[#This Row],[Type]]&amp;"."&amp;EInfo_ACM[[#Headers],[List of entities]]</calculatedColumnFormula>
    </tableColumn>
    <tableColumn id="80" xr3:uid="{10BC0901-8765-4159-8837-7FA516F1001B}" name="List of entities" dataDxfId="253"/>
    <tableColumn id="4" xr3:uid="{3211CA37-4C12-40F2-8A6E-C1854B9C35AD}" name="PublicAccess, Environment, Legal, ACM" dataDxfId="252"/>
    <tableColumn id="82" xr3:uid="{973B0818-0DA4-419D-91BA-8A25CBFC5385}" name="Justification of access control" dataDxfId="251"/>
    <tableColumn id="8" xr3:uid="{F69C04C7-C38E-49A3-83CE-B176F21B3854}" name="E.Info.DT.ACM-3" dataDxfId="250"/>
    <tableColumn id="68" xr3:uid="{3BD9E773-64B5-4044-AD35-1C3B39B08485}" name="PrivacyAsset.TrustedSources" dataDxfId="249"/>
    <tableColumn id="67" xr3:uid="{65618556-03E0-40A2-92F5-67ACD38A61F8}" name="Description of privacy protection for children" dataDxfId="248"/>
    <tableColumn id="11" xr3:uid="{A1E3FCA8-608C-485F-97E7-742D7A26C038}" name="E.Info.DT.ACM-4" dataDxfId="247"/>
    <tableColumn id="70" xr3:uid="{62FB6674-5BC0-4B1C-8789-EDFA2556B975}" name="AuthorisedAccess" dataDxfId="246"/>
    <tableColumn id="69" xr3:uid="{A2117B8A-0EEC-4D3C-8666-83BD77BE8C57}" name="List of authorised third-parties" dataDxfId="245"/>
    <tableColumn id="14" xr3:uid="{3D6E40E2-EA52-4FCD-B488-82DD975C658F}" name="E.Info.DT.ACM-5" dataDxfId="244"/>
    <tableColumn id="72" xr3:uid="{3B5169ED-1DC9-47A9-B6B0-BE1CBAC819A7}" name="Accessible by children?" dataDxfId="243"/>
    <tableColumn id="17" xr3:uid="{EF093B4C-5B48-485B-98FB-7D7B85A1F76E}" name="E.Info.DT.ACM-6" dataDxfId="242"/>
    <tableColumn id="18" xr3:uid="{87756329-4818-4282-8A6B-27AD1E441FC6}" name="Accessible by other entities than children or their guardian?" dataDxfId="241"/>
    <tableColumn id="103" xr3:uid="{9DA23D67-E41F-4A31-AEF6-D7CE3482A68A}" name="E.Info.DT.AUM-1-1" dataDxfId="240"/>
    <tableColumn id="104" xr3:uid="{1297BAE9-ACB3-4220-B345-875311443F72}" name="E.Info.DT.AUM-1-2" dataDxfId="239"/>
    <tableColumn id="102" xr3:uid="{C95BEC7A-8B0A-4F9B-A9C3-17B9930414F5}" name="E.Info.DT.AUM-1-3" dataDxfId="238"/>
    <tableColumn id="20" xr3:uid="{BC2DCEF4-E016-4740-A8AD-CE15AE1D2149}" name="ACM.NetworkInterface, ACM.UserInterface, ACM.MachineInterface" dataDxfId="237"/>
    <tableColumn id="6" xr3:uid="{E4611379-95F4-48F0-928E-7B67C64E1950}" name="List of interfaces" dataDxfId="236"/>
    <tableColumn id="100" xr3:uid="{C92FF9D0-544D-4DE6-9D32-0C06DC298DC9}" name="Types of interfaces" dataDxfId="235"/>
    <tableColumn id="108" xr3:uid="{D1C6B453-21AA-4133-BB44-B2CA83F82740}" name="Description of Interfaces" dataDxfId="234"/>
    <tableColumn id="7" xr3:uid="{6018BEF9-2FFE-44D2-A694-AF39C6EDF5F2}" name="ManagedAccess, IntendedFunctionality, AuthorizedEntities, AuthenticationMechanism, IntendedFunctionality, AuthorizedEntity, IntendedEnvironment, ReadOnlyFunctionality, ReadOnlyLegal, AuthenticationMechanism" dataDxfId="233"/>
    <tableColumn id="23" xr3:uid="{33C74F4A-DFDC-411E-A269-7BA5DD806B30}" name="Description of accesses" dataDxfId="232"/>
    <tableColumn id="26" xr3:uid="{6530C67A-331F-480D-94C3-56655583DD62}" name="E.Info.DT.AUM-2" dataDxfId="231"/>
    <tableColumn id="29" xr3:uid="{DFC6DB66-34F2-4C45-85CD-974A92CEB0D0}" name="E.Info.DT.AUM-2-1" dataDxfId="230"/>
    <tableColumn id="32" xr3:uid="{83E44C4B-6748-4A66-9483-9AAD387C5605}" name="E.Info.DT.AUM-2-2" dataDxfId="229"/>
    <tableColumn id="111" xr3:uid="{EAA5994D-FF31-441F-8D4C-B3E48689059A}" name="AuthFactor" dataDxfId="228"/>
    <tableColumn id="109" xr3:uid="{21A5FE6C-FE82-4081-B15F-D42B7533F393}" name="Description of Authentication Factor" dataDxfId="227"/>
    <tableColumn id="113" xr3:uid="{D13FE74A-0124-4C67-BF68-BDA064CE7C73}" name="AUM, AUM.AuthVal, AUM.AuthEnv" dataDxfId="226"/>
    <tableColumn id="110" xr3:uid="{630CC9AA-A49C-4588-9860-90F38B1CB41A}" name="Description of Authenticator Validation" dataDxfId="225"/>
    <tableColumn id="38" xr3:uid="{CCE0A7E4-B7E4-42CC-8F36-433EA541B2EA}" name="E.Info.DT.AUM-4" dataDxfId="224"/>
    <tableColumn id="116" xr3:uid="{C3D773A5-A97D-4BE2-ABBD-0F0FC23E605A}" name="AUM.ConfSecGoals, AUM.AuthChange" dataDxfId="223"/>
    <tableColumn id="115" xr3:uid="{5EB3F3D6-8371-453A-A611-8155FB4D3B4F}" name="Description of Authenticators Change" dataDxfId="222"/>
    <tableColumn id="41" xr3:uid="{5AEB2C3E-FE47-426F-82AF-4525D0BACCEE}" name="E.Info.DT.AUM-5-1" dataDxfId="221"/>
    <tableColumn id="44" xr3:uid="{A16A2E04-2A6D-4929-A3F8-431617CC971B}" name="E.Info.DT.AUM-5-2" dataDxfId="220"/>
    <tableColumn id="117" xr3:uid="{84A10938-7DE2-40FE-B17F-D42C1F65D8E2}" name="AUM.PwdProperty" dataDxfId="219"/>
    <tableColumn id="118" xr3:uid="{F7191FB9-9EDD-4BAE-914F-708C87175D72}" name="Description of password properties" dataDxfId="218"/>
    <tableColumn id="119" xr3:uid="{FEEB785A-2A44-47E8-ADA2-69AA34E891F3}" name="AUM.BFProtection" dataDxfId="217"/>
    <tableColumn id="49" xr3:uid="{B705FCD2-FC65-4219-BCB7-C1591A69A264}" name="Description of brute force protection mechanisms" dataDxfId="216"/>
    <tableColumn id="3" xr3:uid="{1C513E00-F622-46A6-BF7B-CB7F5B99C797}" name="Asset permanently stored?" dataDxfId="215"/>
    <tableColumn id="50" xr3:uid="{109222D1-C4B5-4058-8B88-014957889935}" name="E.Info.DT.SSM-1" dataDxfId="214"/>
    <tableColumn id="51" xr3:uid="{D4077C1B-5816-4DE8-B04F-B6E73D6DCAC5}" name="SSM" dataDxfId="213"/>
    <tableColumn id="21" xr3:uid="{C2C315C1-C1EC-4979-8BB8-F7F716B636AA}" name="Description of secure storage mechanism" dataDxfId="212"/>
    <tableColumn id="28" xr3:uid="{02798036-EB6D-4070-AD39-90B73FBC824D}" name="SSM.DigitalSignature, SSM.AccessControl, SSM.OTProgrammable, SSM.HardwareProtection, SSM.Generic" dataDxfId="211">
      <calculatedColumnFormula array="1">IFERROR(IF(AND($A3&lt;&gt;"", EInfo_ACM[[#This Row],[E.Info.DT.SSM-1]]&lt;&gt;"N/A"),
     IF(VALUE(RIGHT(EInfo_ACM[[#This Row],[E.Info.DT.SSM-1]]))=2,
        IF(COUNTIF(EInfo_ACM[[#This Row],[Digital signature for integrity protection]:[Hardware Protection for integrity protection]], "Yes")&gt;1,
                "E.Info.SSM-2.SSM.Generic",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0))),
"N/A"),
        IF(EInfo_ACM[[#This Row],[E.Info.DT.SSM-1]]="N/A", "N/A", "")), "E.Info.SSM-2.SSM.Generic")</calculatedColumnFormula>
    </tableColumn>
    <tableColumn id="27" xr3:uid="{9396B7AB-9119-40BE-9127-53FD15B95D42}" name="Digital signature for integrity protection" dataDxfId="210"/>
    <tableColumn id="25" xr3:uid="{EB43C9E1-FB98-4F66-9771-D05359B15ADD}" name="Access Control for integrity protection" dataDxfId="209"/>
    <tableColumn id="24" xr3:uid="{9BF21FA6-D570-403D-BD34-46A2149460C7}" name="One-Time Programmable for integrity protection" dataDxfId="208"/>
    <tableColumn id="22" xr3:uid="{CFE8929C-CE76-4773-BE5C-ED3FC97DD1BE}" name="Hardware Protection for integrity protection" dataDxfId="207"/>
    <tableColumn id="31" xr3:uid="{0EA8046B-B956-4BB5-9026-61C2764897D4}" name="Description of integrity protection for the permanently stored asset" dataDxfId="206"/>
    <tableColumn id="39" xr3:uid="{3395E4D1-54E2-478A-891D-51BFAF0C81E1}" name="SSM.Encryption, SSM.AccessControl, SSM.HardwareProtection, SSM.Generic" dataDxfId="205"/>
    <tableColumn id="37" xr3:uid="{57936EFA-5D38-4F6C-ABE5-93952322F93D}" name="Encryption for authenticity protection" dataDxfId="204"/>
    <tableColumn id="36" xr3:uid="{7F2BD658-5A57-4961-A272-88AA8054C8EF}" name="Access Control for authenticity protection" dataDxfId="203"/>
    <tableColumn id="34" xr3:uid="{8D72EE45-FBFC-4F8A-A53B-4323395DF790}" name="Hardware Protection for authenticity protection" dataDxfId="202"/>
    <tableColumn id="33" xr3:uid="{A7489AA9-6BA6-4C15-90B4-5827D597E6A8}" name="Description of authenticity protection for the permanently stored asset" dataDxfId="201"/>
    <tableColumn id="40" xr3:uid="{BC47920E-2234-415D-961F-029FD9BA2813}" name="Asset communicated via network interface?" dataDxfId="0"/>
    <tableColumn id="59" xr3:uid="{6EE749E2-1A1F-4092-8A30-9B4F6096AEB9}" name="E.Info.DT.SCM-1" dataDxfId="55"/>
    <tableColumn id="42" xr3:uid="{D0FF7EAB-BD13-4ECF-96CA-5B8796E6B694}" name="Asset.SCM, SCM" dataDxfId="200"/>
    <tableColumn id="52" xr3:uid="{CD22714A-DEF2-4F1B-88EE-DBE999767148}" name="Interface, Interface.*Asset, Interface.*" dataDxfId="199"/>
    <tableColumn id="53" xr3:uid="{675C222D-D48E-4500-BA24-924D4AB50BAB}" name="List of network interfaces" dataDxfId="198"/>
    <tableColumn id="48" xr3:uid="{4F75007A-7EFA-4513-986E-C2A78FBD7D9E}" name="Type of network interfaces" dataDxfId="197"/>
    <tableColumn id="60" xr3:uid="{1D74C719-3153-4EBB-83B0-650FA33D8E27}" name="Description of network interfaces" dataDxfId="196"/>
    <tableColumn id="55" xr3:uid="{4EB9C0DC-4325-415B-8C96-7C0B76DD4089}" name="*Asset.Class, *Asset.Com" dataDxfId="195"/>
    <tableColumn id="46" xr3:uid="{19C44173-9FAC-481F-B3A6-175529151BD9}" name="Description of use-cases for when the asset is communicated" dataDxfId="194"/>
    <tableColumn id="58" xr3:uid="{2C0386D1-711F-4EC6-9722-6A625CBA24A3}" name="*Assets.AddMeasures" dataDxfId="193"/>
    <tableColumn id="56" xr3:uid="{1EF01997-EF4D-427A-9E9E-D2F25D850B08}" name="Description of additional authentication measures" dataDxfId="192"/>
    <tableColumn id="86" xr3:uid="{38DA96D3-ED31-4956-AD50-330F1751AFFD}" name="SCM.States, SCM.SecObjectives, Sec.Manage" dataDxfId="191"/>
    <tableColumn id="85" xr3:uid="{0BC9864E-D38D-491A-9A36-B5A69804203F}" name="Description of asset communication" dataDxfId="190"/>
    <tableColumn id="61" xr3:uid="{666059AC-EB34-49BD-8BC9-1C93DE8C8C8D}" name="SCM.Capabilities, SCM.ManufSecret, SCM.SecChanExchange, SCM.PKI-Based, SCM.ThirdPartyTrust, SCM.Generic, SCM.CCK, SCM.ThreatProtection" dataDxfId="189"/>
    <tableColumn id="45" xr3:uid="{65D49730-85C7-4DEA-B67B-840D03E5ABEE}" name="Manufacturing Secret for integrity protection" dataDxfId="188"/>
    <tableColumn id="90" xr3:uid="{70624CEC-E8CE-4C42-9F45-02E51A91E3BA}" name="Second Channel for integrity protection" dataDxfId="187"/>
    <tableColumn id="89" xr3:uid="{2E8FCADB-4B39-435D-B19B-8BA3E3B03286}" name="PKI for integrity protection" dataDxfId="186"/>
    <tableColumn id="88" xr3:uid="{1F602DEC-12B9-493D-AE1A-24BC6804DA1D}" name="Third-party trust for integrity protection" dataDxfId="185"/>
    <tableColumn id="43" xr3:uid="{F645E54B-289C-42A5-8F19-250F8C6058B1}" name="Description of integrity protection for the communicated assets" dataDxfId="184"/>
    <tableColumn id="114" xr3:uid="{2E089DA6-4C5A-4424-8FBB-D051DD604EE2}" name="SCM.Capabilities, SCM.MessageEnc, SCM.ChannelEnc, SCM.Generic, SCM.ImplDetail, SCM.CCK, SCM.ThreatProtection" dataDxfId="183"/>
    <tableColumn id="112" xr3:uid="{58F683A6-5E4F-4DC6-9D8D-6890CD35DE88}" name="Message encryption for confidentiality protection" dataDxfId="182"/>
    <tableColumn id="107" xr3:uid="{4B959ADF-5FB9-4CA4-9AC3-4C89A36B3807}" name="Channel encryption for confidentiality protection" dataDxfId="181"/>
    <tableColumn id="101" xr3:uid="{15A651F7-772C-4D96-A866-5E1C68752B16}" name="Description of confidentiality protection for the communicated assets" dataDxfId="180"/>
    <tableColumn id="124" xr3:uid="{1B4DDFC1-3E31-4107-BF5A-F2E94C2A8352}" name="SCM.Capabilities, SCM.SeqNumb, SCM.TimeStamp, SCM.OneTimeEncKey, SCM.Generic, SCM.ImplDetail, SCM.Repudiation" dataDxfId="179"/>
    <tableColumn id="123" xr3:uid="{293D9613-6BA4-4739-BC81-3231E901A385}" name="Sequence Number" dataDxfId="178"/>
    <tableColumn id="122" xr3:uid="{AC4946F0-6EA7-4E91-A420-49A0118AF981}" name="TimeStamp" dataDxfId="177"/>
    <tableColumn id="121" xr3:uid="{2DCF3E18-4171-46CF-A8C3-8B32931A89A0}" name="One Time Encryption Key" dataDxfId="176"/>
    <tableColumn id="120" xr3:uid="{97B713B6-0C8A-4059-AF09-599FAB7C74DF}" name="Description of anti-replay mechanisms for the communicated assets" dataDxfId="175"/>
    <tableColumn id="93" xr3:uid="{4226B1B2-2BEF-4A43-A15D-47BA322939F3}" name="E.Info.DT.DLM-1" dataDxfId="174"/>
    <tableColumn id="5" xr3:uid="{FD3FB2F7-A542-486A-BE8E-E00A3B11747E}" name="DLM" dataDxfId="173"/>
    <tableColumn id="35" xr3:uid="{60D7C645-EAD5-4BC7-8A3D-0C993096D60E}" name="Description of data deletion mechanisms" dataDxfId="172"/>
    <tableColumn id="96" xr3:uid="{4331BDC4-686F-4C63-93AE-F52F5167C192}" name="E.Info.DT.UNM-1" dataDxfId="171"/>
    <tableColumn id="66" xr3:uid="{F6DC853D-F1C2-4CFF-BF5B-D21425710AB4}" name="PersonalInformation.*" dataDxfId="170"/>
    <tableColumn id="95" xr3:uid="{FB3CAA04-DC2B-4D37-BC3B-D44E1FC9CCF4}" name="Description of user notification mechanisms" dataDxfId="169"/>
    <tableColumn id="47" xr3:uid="{FCB159A9-D938-4222-8BCF-11B38C29F096}" name="Confidential cryptographic key?" dataDxfId="168"/>
    <tableColumn id="71" xr3:uid="{65C4126E-4025-4F2F-A096-A0B272D691FD}" name="E.Info.DT.CCK-1" dataDxfId="167"/>
    <tableColumn id="54" xr3:uid="{CBA9C1CB-3386-4C81-B711-F50CCC4133F9}" name="CCK, CCK.*" dataDxfId="166">
      <calculatedColumnFormula>IFERROR(IF(AND($A3&lt;&gt;"",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calculatedColumnFormula>
    </tableColumn>
    <tableColumn id="57" xr3:uid="{4F1624DB-18C1-4CEE-8306-3A26AFE28F50}" name="Description of CCK implementation" dataDxfId="165"/>
    <tableColumn id="74" xr3:uid="{E2369DE8-5D1C-4E2D-B1A7-562609944ECF}" name="E.Info.DT.CCK-2" dataDxfId="164"/>
    <tableColumn id="63" xr3:uid="{E5473F0F-58BE-43DC-8AC3-63CC67074155}" name="Generation, Generation.*" dataDxfId="163"/>
    <tableColumn id="62" xr3:uid="{04FB526D-30AD-418B-8264-1B8E00EEAF85}" name="Description of CCK generation" dataDxfId="162"/>
    <tableColumn id="77" xr3:uid="{DA6C699D-F492-4B56-A154-75D2949BAE39}" name="E.Info.DT.CCK-3" dataDxfId="161"/>
    <tableColumn id="65" xr3:uid="{C0942290-B622-46E4-A3CC-8702081CB8B9}" name="CCK.Unique, CCK.Shared, CCK.Controlled" dataDxfId="160"/>
    <tableColumn id="64" xr3:uid="{0B7CC21F-96D5-48AA-80D8-43DC8E305D23}" name="Description of CCK uniqueness" dataDxfId="159"/>
  </tableColumns>
  <tableStyleInfo name="TableStyleLight1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62ADB63-9BC6-4710-AECC-78DFFBA67231}" name="EInfo_SUM" displayName="EInfo_SUM" ref="A2:M51" totalsRowShown="0" headerRowDxfId="57" dataDxfId="157" headerRowBorderDxfId="158" tableBorderDxfId="156">
  <autoFilter ref="A2:M51" xr:uid="{A79549A3-8B68-4822-BE36-B1A0EA3A4F63}"/>
  <tableColumns count="13">
    <tableColumn id="1" xr3:uid="{C9D911F4-0A57-497A-A18A-640FD7F4B79E}" name="Software components" dataDxfId="155"/>
    <tableColumn id="2" xr3:uid="{A3A4A63F-0AD4-436D-8CB5-1D3983891527}" name="E.Info.DT.SUM-1" dataDxfId="154"/>
    <tableColumn id="12" xr3:uid="{0E858BB6-2893-4410-A2B0-265F625D2695}" name="Software Component" dataDxfId="153"/>
    <tableColumn id="11" xr3:uid="{C25CE79D-F441-48A6-9141-EF3D92B29072}" name="Description of Software Component" dataDxfId="152"/>
    <tableColumn id="13" xr3:uid="{1E6EBAA6-1A64-4B77-968A-24F16310CE62}" name="FuncSaftyImp, Immutable, AltMeasures, SUM" dataDxfId="151"/>
    <tableColumn id="14" xr3:uid="{F430AF5C-6C02-4869-BE37-50AF7FD56FFC}" name="Updateability" dataDxfId="150"/>
    <tableColumn id="5" xr3:uid="{D4698163-0B1F-4C35-B5FE-3B3DB51D6E16}" name="SUM.Sign, SUM-2.SUM.SecChan, SUM-2.SUM.AccContMech, SUM-2.SUM.Generic" dataDxfId="149"/>
    <tableColumn id="17" xr3:uid="{D72C0B22-E4FC-4529-B988-2BC6CDB7E844}" name="Firmware signature" dataDxfId="148"/>
    <tableColumn id="20" xr3:uid="{14105C70-E371-4B9F-BD62-A4D47879874A}" name="Secure communication channel" dataDxfId="147"/>
    <tableColumn id="19" xr3:uid="{540238CB-D164-4C79-A893-CAF0C8B68B21}" name="Access Control Mechanism" dataDxfId="146"/>
    <tableColumn id="21" xr3:uid="{21232575-3D3D-4047-9F73-9099D1218148}" name="Description of firmware protection mechanisms" dataDxfId="145">
      <calculatedColumnFormula>_xlfn.TEXTJOIN(", ", TRUE, )</calculatedColumnFormula>
    </tableColumn>
    <tableColumn id="8" xr3:uid="{D4E42199-694F-4FDA-94DE-42DFD2F602BC}" name="SUM.Automation" dataDxfId="144"/>
    <tableColumn id="22" xr3:uid="{2C029A79-3695-4E83-965D-A6AC4BD30819}" name="Description of firmware installation mechanisms" dataDxfId="143"/>
  </tableColumns>
  <tableStyleInfo name="TableStyleMedium2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0076998-5C6E-4938-AA5D-4A747EC0CA5D}" name="EInfo_RLM" displayName="EInfo_RLM" ref="A2:P51" totalsRowShown="0" dataDxfId="141" headerRowBorderDxfId="142" tableBorderDxfId="140">
  <autoFilter ref="A2:P51" xr:uid="{A79549A3-8B68-4822-BE36-B1A0EA3A4F63}"/>
  <tableColumns count="16">
    <tableColumn id="1" xr3:uid="{D1BC10D8-6350-45B2-BFD3-6FF2B223EE80}" name="Network Interfaces" dataDxfId="139"/>
    <tableColumn id="11" xr3:uid="{17434D5B-C0FB-42F8-8458-A63106719850}" name="NetworkInterfaces" dataDxfId="138"/>
    <tableColumn id="3" xr3:uid="{A05C3995-F9B1-44E2-BCAF-465368DAA008}" name="Description" dataDxfId="137"/>
    <tableColumn id="2" xr3:uid="{2246FAD5-69AA-4E7B-A67C-958778817D77}" name="E.Info.DT.RLM-1" dataDxfId="136"/>
    <tableColumn id="13" xr3:uid="{98A11B0D-1E1B-4E48-A95A-6B49C123B73F}" name="RLM" dataDxfId="135"/>
    <tableColumn id="12" xr3:uid="{319CDCD8-8960-4976-A6B0-27B2F4124470}" name="Description of resilience mechanism" dataDxfId="134"/>
    <tableColumn id="5" xr3:uid="{EA285908-DE98-4DB8-98C4-213B53E247A0}" name="E.Info.DT.NMM-1" dataDxfId="133"/>
    <tableColumn id="18" xr3:uid="{B196E0A3-874F-4536-B613-FFA79D6086A8}" name="NMM, NMM.*" dataDxfId="132"/>
    <tableColumn id="16" xr3:uid="{F5A2C111-B85D-4233-A559-0C9C239D2890}" name="GTP Filtering" dataDxfId="131"/>
    <tableColumn id="15" xr3:uid="{3027744C-9AB5-4F5E-923A-A90C468C76F5}" name="IP Packet Filtering" dataDxfId="130"/>
    <tableColumn id="17" xr3:uid="{D8B72F13-9781-40C2-936B-CB0E1A24A0F9}" name="Description of network monitoring mechanism" dataDxfId="129"/>
    <tableColumn id="8" xr3:uid="{586C08DA-04D5-4D94-94BB-D0CAC6B4B392}" name="E.Info.DT.TCM-1" dataDxfId="128"/>
    <tableColumn id="20" xr3:uid="{89B5E976-882B-4AE8-ABD6-8F34AF9F9DD4}" name="TCM, TCM.*" dataDxfId="127"/>
    <tableColumn id="19" xr3:uid="{186F4552-FFD2-4A5F-8F09-654AE7B6A4F1}" name="Datagram Rules" dataDxfId="126"/>
    <tableColumn id="9" xr3:uid="{1884393F-BA8E-464B-886D-8209C9BF758C}" name="Traffic Separation" dataDxfId="125"/>
    <tableColumn id="10" xr3:uid="{7E53CE70-1426-4365-92FF-BE42967C0E25}" name="Description of traffic control mechanism" dataDxfId="124"/>
  </tableColumns>
  <tableStyleInfo name="TableStyleMedium23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78D562C-4D1F-4D9E-8890-D13EFB8D753B}" name="EInfo_LGM" displayName="EInfo_LGM" ref="A2:L51" totalsRowShown="0" dataDxfId="122" headerRowBorderDxfId="123" tableBorderDxfId="121">
  <autoFilter ref="A2:L51" xr:uid="{A79549A3-8B68-4822-BE36-B1A0EA3A4F63}"/>
  <tableColumns count="12">
    <tableColumn id="1" xr3:uid="{83BCB27B-C0AF-4A30-A5C3-812B8710EA67}" name="Events" dataDxfId="120"/>
    <tableColumn id="2" xr3:uid="{288FCDDC-82AF-4D3E-811C-C78A46DCB570}" name="E.Info.DT.LGM-1" dataDxfId="119"/>
    <tableColumn id="14" xr3:uid="{B0F4CDFB-1D8D-4D94-BD19-07AC12DC41CD}" name="PrivacyAssetEvent, PrivacyAssetEvent.*, LGM" dataDxfId="118"/>
    <tableColumn id="3" xr3:uid="{D09E0333-E741-4EF8-89B8-82EC0C3642A0}" name="Description of logging data and mechanisms" dataDxfId="117"/>
    <tableColumn id="5" xr3:uid="{A5787735-9A36-41B6-A7DC-BC6E72F9271A}" name="E.Info.DT.LGM-2" dataDxfId="116"/>
    <tableColumn id="6" xr3:uid="{1B7AB769-212E-43E7-A54B-47334AF6FEB9}" name="LGM.*" dataDxfId="115"/>
    <tableColumn id="7" xr3:uid="{F66C619D-6435-4C23-AD2E-617C9C15056D}" name="Description of storage for logging events" dataDxfId="114"/>
    <tableColumn id="8" xr3:uid="{D9002541-B008-4CFD-A496-6E9FA2A9F9A0}" name="LGM.Quantity" dataDxfId="113"/>
    <tableColumn id="9" xr3:uid="{CBB4983E-CC82-445C-BEBE-68FFCEC11E9D}" name="Description of minimum event storage" dataDxfId="112"/>
    <tableColumn id="11" xr3:uid="{3A334CE0-07B7-45C8-8433-6DD0A5E9A696}" name="E.Info.DT.LGM-4" dataDxfId="111"/>
    <tableColumn id="13" xr3:uid="{D8B1AC31-214E-46C5-8BF8-A3E238109625}" name="LGM.Time*" dataDxfId="110"/>
    <tableColumn id="12" xr3:uid="{AFF906F0-9808-45A4-9931-E503E22F4FAC}" name="Description of time-related information" dataDxfId="109"/>
  </tableColumns>
  <tableStyleInfo name="TableStyleMedium23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E142B30-0BCF-44C3-91FE-015550BF5306}" name="EInfo_GEC1" displayName="EInfo_GEC1" ref="A2:H50" totalsRowShown="0" dataDxfId="107" headerRowBorderDxfId="108" tableBorderDxfId="106" totalsRowBorderDxfId="105">
  <autoFilter ref="A2:H50" xr:uid="{4E142B30-0BCF-44C3-91FE-015550BF5306}"/>
  <tableColumns count="8">
    <tableColumn id="4" xr3:uid="{2AE9470B-4AED-4705-AEBA-618942F94FC5}" name="Component" dataDxfId="104"/>
    <tableColumn id="13" xr3:uid="{2CAED727-6178-40EB-9433-34176DFE92ED}" name="Type" dataDxfId="103"/>
    <tableColumn id="7" xr3:uid="{9F2F7696-DB7E-472D-8F83-51B9617B3940}" name="E.Info.DT.GEC-1" dataDxfId="102"/>
    <tableColumn id="11" xr3:uid="{E1156437-7C37-40B9-82A4-85BC4A460064}" name="SoftwareDocumentation" dataDxfId="101">
      <calculatedColumnFormula>_xleta.IF</calculatedColumnFormula>
    </tableColumn>
    <tableColumn id="5" xr3:uid="{354DF6C9-409E-4AE2-86DC-290DC56E326A}" name="Description and version" dataDxfId="100"/>
    <tableColumn id="6" xr3:uid="{DE2E52FD-2F1F-435E-8E97-E03A8DF5DA7D}" name="Affected assets" dataDxfId="99"/>
    <tableColumn id="14" xr3:uid="{B4A5911C-37B0-4776-AADD-F8CDA9CFDA27}" name="ListOfVulnerabilities, ListOfVulnerabilities.*" dataDxfId="98"/>
    <tableColumn id="1" xr3:uid="{A80E9F65-4C26-44E3-A19B-23CD2B8A0010}" name="Vulnerabilities and risk reduction" dataDxfId="97"/>
  </tableColumns>
  <tableStyleInfo name="TableStyleMedium23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8F7A753-B101-434B-85C8-15E90BBB91FD}" name="EInfo_GEC2_7" displayName="EInfo_GEC2_7" ref="A2:R50" totalsRowShown="0" dataDxfId="95" headerRowBorderDxfId="96" tableBorderDxfId="94">
  <autoFilter ref="A2:R50" xr:uid="{A79549A3-8B68-4822-BE36-B1A0EA3A4F63}"/>
  <tableColumns count="18">
    <tableColumn id="1" xr3:uid="{4A869F9C-1801-48B5-9301-85C5238EB7C4}" name=" Interfaces" dataDxfId="93"/>
    <tableColumn id="15" xr3:uid="{2698680D-025D-4BBF-AF3F-088C561B8D54}" name="Assets" dataDxfId="92"/>
    <tableColumn id="14" xr3:uid="{0173C47F-2B46-4B5D-A60D-62080942E559}" name="Assets accessible" dataDxfId="91">
      <calculatedColumnFormula>Interfaces!F1</calculatedColumnFormula>
    </tableColumn>
    <tableColumn id="2" xr3:uid="{EA5F9EC2-3782-402A-961B-1705325AA9F1}" name="E.Info.DT.GEC-2" dataDxfId="90"/>
    <tableColumn id="5" xr3:uid="{B2DAC744-71A7-4915-976B-9BA2A973C9D3}" name="E.Info.DT.GEC-3" dataDxfId="89"/>
    <tableColumn id="8" xr3:uid="{F6A86471-C274-46D8-A94C-D720673C65C8}" name="E.Info.DT.GEC-4" dataDxfId="88"/>
    <tableColumn id="13" xr3:uid="{9A480054-E325-4E4C-A3E5-B09481F4525F}" name="NetworkInterface.Exposure, Setup" dataDxfId="87"/>
    <tableColumn id="12" xr3:uid="{689C4729-E1BE-4C3C-99AB-E4626DDB4027}" name="Description of interface exposure and options" dataDxfId="86"/>
    <tableColumn id="18" xr3:uid="{FC70C26D-6124-48DF-A330-D3846D497A3D}" name="UserDoc.NetworkInterface.Exposure" dataDxfId="85"/>
    <tableColumn id="17" xr3:uid="{DCABF52F-CD5F-405C-A141-1DE0B19FDD25}" name="User documentation for network interface and services" dataDxfId="84"/>
    <tableColumn id="19" xr3:uid="{B4EB52A2-3FF7-498E-9DF3-A44736B0D88E}" name="PhysicalExternalInterface, PhysicalExternalInterface.*, IntFunc" dataDxfId="83"/>
    <tableColumn id="20" xr3:uid="{D9C14E20-B022-4078-9494-62088CF67F1F}" name="Description of physical external interface" dataDxfId="82"/>
    <tableColumn id="86" xr3:uid="{6FCF6AC7-1951-4530-B3B0-9B683E987AF8}" name="E.Info.DT.GEC-6" dataDxfId="81"/>
    <tableColumn id="21" xr3:uid="{E80771A8-A7E7-4266-9566-6DD0DFCDB695}" name="ExternalInterface, ExternalInterface.*" dataDxfId="80"/>
    <tableColumn id="22" xr3:uid="{838FDDDB-CFE8-4738-94A7-D4022D92B0E3}" name="Description of input validation" dataDxfId="79"/>
    <tableColumn id="89" xr3:uid="{65456595-C456-44DD-9253-F1BA910A0CF3}" name="E.Info.DT.GEC-7" dataDxfId="78"/>
    <tableColumn id="24" xr3:uid="{D0ED2BF9-D661-4723-8198-1543F53803F2}" name="NonNetworkInterface, UserDoc.NonNetworkInterface" dataDxfId="77"/>
    <tableColumn id="23" xr3:uid="{F44A5F21-2068-4572-9BC0-0357F3E628BD}" name="Description of sensors" dataDxfId="76"/>
  </tableColumns>
  <tableStyleInfo name="TableStyleMedium23" showFirstColumn="0" showLastColumn="0" showRowStripes="1" showColumnStripes="0"/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cetome">
  <a:themeElements>
    <a:clrScheme name="Cetome">
      <a:dk1>
        <a:sysClr val="windowText" lastClr="000000"/>
      </a:dk1>
      <a:lt1>
        <a:sysClr val="window" lastClr="FFFFFF"/>
      </a:lt1>
      <a:dk2>
        <a:srgbClr val="162D50"/>
      </a:dk2>
      <a:lt2>
        <a:srgbClr val="0044AA"/>
      </a:lt2>
      <a:accent1>
        <a:srgbClr val="EAEAEA"/>
      </a:accent1>
      <a:accent2>
        <a:srgbClr val="0066FF"/>
      </a:accent2>
      <a:accent3>
        <a:srgbClr val="0BD0D9"/>
      </a:accent3>
      <a:accent4>
        <a:srgbClr val="10CF9B"/>
      </a:accent4>
      <a:accent5>
        <a:srgbClr val="B80000"/>
      </a:accent5>
      <a:accent6>
        <a:srgbClr val="A5C249"/>
      </a:accent6>
      <a:hlink>
        <a:srgbClr val="0044AA"/>
      </a:hlink>
      <a:folHlink>
        <a:srgbClr val="0044AA"/>
      </a:folHlink>
    </a:clrScheme>
    <a:fontScheme name="Cetome">
      <a:majorFont>
        <a:latin typeface="Gill Sans MT"/>
        <a:ea typeface=""/>
        <a:cs typeface=""/>
      </a:majorFont>
      <a:minorFont>
        <a:latin typeface="Leelawadee UI"/>
        <a:ea typeface=""/>
        <a:cs typeface=""/>
      </a:minorFont>
    </a:fontScheme>
    <a:fmtScheme name="Inté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cetome" id="{686CB74F-4FA9-4E6B-8068-78631F6382FB}" vid="{E54E3A77-B8DD-465B-83BF-3B96454DC8D8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DA918-8621-430E-98CF-8EA024196246}">
  <sheetPr>
    <tabColor theme="0"/>
    <pageSetUpPr autoPageBreaks="0"/>
  </sheetPr>
  <dimension ref="A1:I51"/>
  <sheetViews>
    <sheetView tabSelected="1" zoomScaleNormal="100" workbookViewId="0">
      <selection activeCell="B5" sqref="B5"/>
    </sheetView>
  </sheetViews>
  <sheetFormatPr defaultColWidth="9" defaultRowHeight="16.5" x14ac:dyDescent="0.3"/>
  <cols>
    <col min="1" max="1" width="9.75" style="1" customWidth="1"/>
    <col min="2" max="2" width="27.25" style="1" customWidth="1"/>
    <col min="3" max="3" width="9" style="1"/>
    <col min="4" max="4" width="28.375" style="1" customWidth="1"/>
    <col min="5" max="5" width="37.5" style="1" customWidth="1"/>
    <col min="6" max="16384" width="9" style="1"/>
  </cols>
  <sheetData>
    <row r="1" spans="1:9" ht="72" customHeight="1" x14ac:dyDescent="0.3"/>
    <row r="2" spans="1:9" x14ac:dyDescent="0.3">
      <c r="A2" s="22" t="s">
        <v>437</v>
      </c>
      <c r="C2" s="23"/>
    </row>
    <row r="3" spans="1:9" ht="20.25" thickBot="1" x14ac:dyDescent="0.45">
      <c r="A3" s="24"/>
      <c r="B3" s="24"/>
      <c r="C3" s="24"/>
      <c r="D3" s="24"/>
      <c r="E3" s="25"/>
    </row>
    <row r="4" spans="1:9" x14ac:dyDescent="0.3">
      <c r="A4" s="2" t="s">
        <v>441</v>
      </c>
      <c r="B4" s="3"/>
      <c r="C4" s="26"/>
      <c r="D4" s="27"/>
    </row>
    <row r="5" spans="1:9" x14ac:dyDescent="0.3">
      <c r="A5" s="28" t="s">
        <v>71</v>
      </c>
      <c r="B5" s="8" t="s">
        <v>72</v>
      </c>
      <c r="C5" s="29"/>
      <c r="D5" s="30"/>
    </row>
    <row r="6" spans="1:9" x14ac:dyDescent="0.3">
      <c r="A6" s="28" t="s">
        <v>73</v>
      </c>
      <c r="B6" s="8" t="s">
        <v>74</v>
      </c>
      <c r="C6" s="29"/>
      <c r="D6" s="30"/>
    </row>
    <row r="7" spans="1:9" ht="17.25" thickBot="1" x14ac:dyDescent="0.35">
      <c r="A7" s="4" t="s">
        <v>59</v>
      </c>
      <c r="B7" s="11" t="s">
        <v>75</v>
      </c>
      <c r="C7" s="31"/>
      <c r="D7" s="32"/>
    </row>
    <row r="8" spans="1:9" ht="17.25" thickBot="1" x14ac:dyDescent="0.35">
      <c r="A8" s="33"/>
      <c r="B8" s="34"/>
      <c r="C8" s="21"/>
      <c r="D8" s="21"/>
    </row>
    <row r="9" spans="1:9" x14ac:dyDescent="0.3">
      <c r="A9" s="35" t="s">
        <v>76</v>
      </c>
      <c r="B9" s="5"/>
      <c r="C9" s="5"/>
      <c r="D9" s="5"/>
      <c r="E9" s="5"/>
      <c r="F9" s="5"/>
      <c r="G9" s="5"/>
      <c r="H9" s="5"/>
      <c r="I9" s="6"/>
    </row>
    <row r="10" spans="1:9" x14ac:dyDescent="0.3">
      <c r="A10" s="36" t="s">
        <v>77</v>
      </c>
      <c r="B10" s="8"/>
      <c r="C10" s="8"/>
      <c r="D10" s="8"/>
      <c r="E10" s="8"/>
      <c r="F10" s="8"/>
      <c r="G10" s="8"/>
      <c r="H10" s="8"/>
      <c r="I10" s="9"/>
    </row>
    <row r="11" spans="1:9" x14ac:dyDescent="0.3">
      <c r="A11" s="36" t="s">
        <v>439</v>
      </c>
      <c r="B11" s="8"/>
      <c r="C11" s="8"/>
      <c r="D11" s="8"/>
      <c r="E11" s="8"/>
      <c r="F11" s="8"/>
      <c r="G11" s="8"/>
      <c r="H11" s="8"/>
      <c r="I11" s="9"/>
    </row>
    <row r="12" spans="1:9" x14ac:dyDescent="0.3">
      <c r="A12" s="36"/>
      <c r="B12" s="8"/>
      <c r="C12" s="8"/>
      <c r="D12" s="8"/>
      <c r="E12" s="8"/>
      <c r="F12" s="8"/>
      <c r="G12" s="8"/>
      <c r="H12" s="8"/>
      <c r="I12" s="9"/>
    </row>
    <row r="13" spans="1:9" x14ac:dyDescent="0.3">
      <c r="A13" s="36" t="s">
        <v>438</v>
      </c>
      <c r="B13" s="8"/>
      <c r="C13" s="8"/>
      <c r="D13" s="8"/>
      <c r="E13" s="8"/>
      <c r="F13" s="8"/>
      <c r="G13" s="8"/>
      <c r="H13" s="8"/>
      <c r="I13" s="9"/>
    </row>
    <row r="14" spans="1:9" x14ac:dyDescent="0.3">
      <c r="A14" s="36" t="s">
        <v>440</v>
      </c>
      <c r="B14" s="8"/>
      <c r="C14" s="8"/>
      <c r="D14" s="8"/>
      <c r="E14" s="8"/>
      <c r="F14" s="8"/>
      <c r="G14" s="8"/>
      <c r="H14" s="8"/>
      <c r="I14" s="9"/>
    </row>
    <row r="15" spans="1:9" ht="17.25" thickBot="1" x14ac:dyDescent="0.35">
      <c r="A15" s="37"/>
      <c r="B15" s="11"/>
      <c r="C15" s="11"/>
      <c r="D15" s="11"/>
      <c r="E15" s="11"/>
      <c r="F15" s="11"/>
      <c r="G15" s="11"/>
      <c r="H15" s="11"/>
      <c r="I15" s="12"/>
    </row>
    <row r="16" spans="1:9" x14ac:dyDescent="0.3">
      <c r="A16" s="38"/>
      <c r="B16" s="39"/>
      <c r="C16" s="39"/>
      <c r="D16" s="39"/>
      <c r="E16" s="39"/>
      <c r="F16" s="39"/>
      <c r="G16" s="39"/>
      <c r="H16" s="39"/>
      <c r="I16" s="39"/>
    </row>
    <row r="17" spans="1:9" ht="17.25" thickBot="1" x14ac:dyDescent="0.35">
      <c r="A17" s="40"/>
      <c r="B17" s="41"/>
      <c r="C17" s="41"/>
      <c r="D17" s="41"/>
      <c r="E17" s="41"/>
      <c r="F17" s="41"/>
      <c r="G17" s="41"/>
      <c r="H17" s="41"/>
      <c r="I17" s="41"/>
    </row>
    <row r="18" spans="1:9" x14ac:dyDescent="0.3">
      <c r="A18" s="35" t="s">
        <v>78</v>
      </c>
      <c r="B18" s="5"/>
      <c r="C18" s="5"/>
      <c r="D18" s="5"/>
      <c r="E18" s="5"/>
      <c r="F18" s="5"/>
      <c r="G18" s="5"/>
      <c r="H18" s="5"/>
      <c r="I18" s="6"/>
    </row>
    <row r="19" spans="1:9" x14ac:dyDescent="0.3">
      <c r="A19" s="42" t="s">
        <v>79</v>
      </c>
      <c r="B19" s="8"/>
      <c r="C19" s="8"/>
      <c r="D19" s="8"/>
      <c r="E19" s="8"/>
      <c r="F19" s="8"/>
      <c r="G19" s="8"/>
      <c r="H19" s="8"/>
      <c r="I19" s="9"/>
    </row>
    <row r="20" spans="1:9" x14ac:dyDescent="0.3">
      <c r="A20" s="36"/>
      <c r="B20" s="8"/>
      <c r="C20" s="8"/>
      <c r="D20" s="8"/>
      <c r="E20" s="8"/>
      <c r="F20" s="8"/>
      <c r="G20" s="8"/>
      <c r="H20" s="8"/>
      <c r="I20" s="9"/>
    </row>
    <row r="21" spans="1:9" x14ac:dyDescent="0.3">
      <c r="A21" s="36"/>
      <c r="B21" s="8"/>
      <c r="C21" s="8"/>
      <c r="D21" s="8"/>
      <c r="E21" s="8"/>
      <c r="F21" s="8"/>
      <c r="G21" s="8"/>
      <c r="H21" s="8"/>
      <c r="I21" s="9"/>
    </row>
    <row r="22" spans="1:9" x14ac:dyDescent="0.3">
      <c r="A22" s="36"/>
      <c r="B22" s="8"/>
      <c r="C22" s="8"/>
      <c r="D22" s="8"/>
      <c r="E22" s="8"/>
      <c r="F22" s="8"/>
      <c r="G22" s="8"/>
      <c r="H22" s="8"/>
      <c r="I22" s="9"/>
    </row>
    <row r="23" spans="1:9" x14ac:dyDescent="0.3">
      <c r="A23" s="36"/>
      <c r="B23" s="8"/>
      <c r="C23" s="8"/>
      <c r="D23" s="8"/>
      <c r="E23" s="8"/>
      <c r="F23" s="8"/>
      <c r="G23" s="8"/>
      <c r="H23" s="8"/>
      <c r="I23" s="9"/>
    </row>
    <row r="24" spans="1:9" x14ac:dyDescent="0.3">
      <c r="A24" s="36"/>
      <c r="B24" s="8"/>
      <c r="C24" s="8"/>
      <c r="D24" s="8"/>
      <c r="E24" s="8"/>
      <c r="F24" s="8"/>
      <c r="G24" s="8"/>
      <c r="H24" s="8"/>
      <c r="I24" s="9"/>
    </row>
    <row r="25" spans="1:9" ht="17.25" thickBot="1" x14ac:dyDescent="0.35">
      <c r="A25" s="37"/>
      <c r="B25" s="11"/>
      <c r="C25" s="11"/>
      <c r="D25" s="11"/>
      <c r="E25" s="11"/>
      <c r="F25" s="11"/>
      <c r="G25" s="11"/>
      <c r="H25" s="11"/>
      <c r="I25" s="12"/>
    </row>
    <row r="27" spans="1:9" ht="17.25" thickBot="1" x14ac:dyDescent="0.35"/>
    <row r="28" spans="1:9" x14ac:dyDescent="0.3">
      <c r="A28" s="35" t="s">
        <v>80</v>
      </c>
      <c r="B28" s="5"/>
      <c r="C28" s="5"/>
      <c r="D28" s="5"/>
      <c r="E28" s="5"/>
      <c r="F28" s="5"/>
      <c r="G28" s="5"/>
      <c r="H28" s="5"/>
      <c r="I28" s="6"/>
    </row>
    <row r="29" spans="1:9" x14ac:dyDescent="0.3">
      <c r="A29" s="36" t="s">
        <v>81</v>
      </c>
      <c r="B29" s="8"/>
      <c r="C29" s="8"/>
      <c r="D29" s="8"/>
      <c r="E29" s="8"/>
      <c r="F29" s="8"/>
      <c r="G29" s="8"/>
      <c r="H29" s="8"/>
      <c r="I29" s="9"/>
    </row>
    <row r="30" spans="1:9" x14ac:dyDescent="0.3">
      <c r="A30" s="36"/>
      <c r="B30" s="8"/>
      <c r="C30" s="8"/>
      <c r="D30" s="8"/>
      <c r="E30" s="8"/>
      <c r="F30" s="8"/>
      <c r="G30" s="8"/>
      <c r="H30" s="8"/>
      <c r="I30" s="9"/>
    </row>
    <row r="31" spans="1:9" x14ac:dyDescent="0.3">
      <c r="A31" s="36" t="s">
        <v>97</v>
      </c>
      <c r="B31" s="8"/>
      <c r="C31" s="8"/>
      <c r="D31" s="8"/>
      <c r="E31" s="8"/>
      <c r="F31" s="8"/>
      <c r="G31" s="8"/>
      <c r="H31" s="8"/>
      <c r="I31" s="9"/>
    </row>
    <row r="32" spans="1:9" x14ac:dyDescent="0.3">
      <c r="A32" s="36" t="s">
        <v>442</v>
      </c>
      <c r="B32" s="8"/>
      <c r="C32" s="8"/>
      <c r="D32" s="8"/>
      <c r="E32" s="8"/>
      <c r="F32" s="8"/>
      <c r="G32" s="8"/>
      <c r="H32" s="8"/>
      <c r="I32" s="9"/>
    </row>
    <row r="33" spans="1:9" x14ac:dyDescent="0.3">
      <c r="A33" s="36"/>
      <c r="B33" s="8"/>
      <c r="C33" s="8"/>
      <c r="D33" s="8"/>
      <c r="E33" s="8"/>
      <c r="F33" s="8"/>
      <c r="G33" s="8"/>
      <c r="H33" s="8"/>
      <c r="I33" s="9"/>
    </row>
    <row r="34" spans="1:9" x14ac:dyDescent="0.3">
      <c r="A34" s="36" t="s">
        <v>443</v>
      </c>
      <c r="B34" s="8"/>
      <c r="C34" s="8"/>
      <c r="D34" s="8"/>
      <c r="E34" s="8"/>
      <c r="F34" s="8"/>
      <c r="G34" s="8"/>
      <c r="H34" s="8"/>
      <c r="I34" s="9"/>
    </row>
    <row r="35" spans="1:9" x14ac:dyDescent="0.3">
      <c r="A35" s="36" t="s">
        <v>444</v>
      </c>
      <c r="B35" s="8"/>
      <c r="C35" s="8"/>
      <c r="D35" s="8"/>
      <c r="E35" s="8"/>
      <c r="F35" s="8"/>
      <c r="G35" s="8"/>
      <c r="H35" s="8"/>
      <c r="I35" s="9"/>
    </row>
    <row r="36" spans="1:9" x14ac:dyDescent="0.3">
      <c r="A36" s="36"/>
      <c r="B36" s="8"/>
      <c r="C36" s="8"/>
      <c r="D36" s="8"/>
      <c r="E36" s="8"/>
      <c r="F36" s="8"/>
      <c r="G36" s="8"/>
      <c r="H36" s="8"/>
      <c r="I36" s="9"/>
    </row>
    <row r="37" spans="1:9" x14ac:dyDescent="0.3">
      <c r="A37" s="36" t="s">
        <v>446</v>
      </c>
      <c r="B37" s="8"/>
      <c r="C37" s="8"/>
      <c r="D37" s="8"/>
      <c r="E37" s="8"/>
      <c r="F37" s="8"/>
      <c r="G37" s="8"/>
      <c r="H37" s="8"/>
      <c r="I37" s="9"/>
    </row>
    <row r="38" spans="1:9" x14ac:dyDescent="0.3">
      <c r="A38" s="36" t="s">
        <v>445</v>
      </c>
      <c r="B38" s="8"/>
      <c r="C38" s="8"/>
      <c r="D38" s="8"/>
      <c r="E38" s="8"/>
      <c r="F38" s="8"/>
      <c r="G38" s="8"/>
      <c r="H38" s="8"/>
      <c r="I38" s="9"/>
    </row>
    <row r="39" spans="1:9" x14ac:dyDescent="0.3">
      <c r="A39" s="36"/>
      <c r="B39" s="8"/>
      <c r="C39" s="8"/>
      <c r="D39" s="8"/>
      <c r="E39" s="8"/>
      <c r="F39" s="8"/>
      <c r="G39" s="8"/>
      <c r="H39" s="8"/>
      <c r="I39" s="9"/>
    </row>
    <row r="40" spans="1:9" x14ac:dyDescent="0.3">
      <c r="A40" s="36" t="s">
        <v>447</v>
      </c>
      <c r="B40" s="8"/>
      <c r="C40" s="8"/>
      <c r="D40" s="8"/>
      <c r="E40" s="8"/>
      <c r="F40" s="8"/>
      <c r="G40" s="8"/>
      <c r="H40" s="8"/>
      <c r="I40" s="9"/>
    </row>
    <row r="41" spans="1:9" x14ac:dyDescent="0.3">
      <c r="A41" s="36" t="s">
        <v>98</v>
      </c>
      <c r="B41" s="8"/>
      <c r="C41" s="8"/>
      <c r="D41" s="8"/>
      <c r="E41" s="8"/>
      <c r="F41" s="8"/>
      <c r="G41" s="8"/>
      <c r="H41" s="8"/>
      <c r="I41" s="9"/>
    </row>
    <row r="42" spans="1:9" x14ac:dyDescent="0.3">
      <c r="A42" s="36" t="s">
        <v>448</v>
      </c>
      <c r="B42" s="8"/>
      <c r="C42" s="8"/>
      <c r="D42" s="8"/>
      <c r="E42" s="8"/>
      <c r="F42" s="8"/>
      <c r="G42" s="8"/>
      <c r="H42" s="8"/>
      <c r="I42" s="9"/>
    </row>
    <row r="43" spans="1:9" x14ac:dyDescent="0.3">
      <c r="A43" s="36" t="s">
        <v>449</v>
      </c>
      <c r="B43" s="8"/>
      <c r="C43" s="8"/>
      <c r="D43" s="8"/>
      <c r="E43" s="8"/>
      <c r="F43" s="8"/>
      <c r="G43" s="8"/>
      <c r="H43" s="8"/>
      <c r="I43" s="9"/>
    </row>
    <row r="44" spans="1:9" x14ac:dyDescent="0.3">
      <c r="A44" s="36"/>
      <c r="B44" s="8"/>
      <c r="C44" s="8"/>
      <c r="D44" s="8"/>
      <c r="E44" s="8"/>
      <c r="F44" s="8"/>
      <c r="G44" s="8"/>
      <c r="H44" s="8"/>
      <c r="I44" s="9"/>
    </row>
    <row r="45" spans="1:9" x14ac:dyDescent="0.3">
      <c r="A45" s="36" t="s">
        <v>450</v>
      </c>
      <c r="B45" s="8"/>
      <c r="C45" s="8"/>
      <c r="D45" s="8"/>
      <c r="E45" s="8"/>
      <c r="F45" s="8"/>
      <c r="G45" s="8"/>
      <c r="H45" s="8"/>
      <c r="I45" s="9"/>
    </row>
    <row r="46" spans="1:9" ht="17.25" thickBot="1" x14ac:dyDescent="0.35">
      <c r="A46" s="43"/>
      <c r="B46" s="11"/>
      <c r="C46" s="11"/>
      <c r="D46" s="11"/>
      <c r="E46" s="11"/>
      <c r="F46" s="11"/>
      <c r="G46" s="11"/>
      <c r="H46" s="11"/>
      <c r="I46" s="12"/>
    </row>
    <row r="48" spans="1:9" ht="17.25" thickBot="1" x14ac:dyDescent="0.35"/>
    <row r="49" spans="1:9" x14ac:dyDescent="0.3">
      <c r="A49" s="2" t="s">
        <v>0</v>
      </c>
      <c r="B49" s="5"/>
      <c r="C49" s="5"/>
      <c r="D49" s="5"/>
      <c r="E49" s="5"/>
      <c r="F49" s="5"/>
      <c r="G49" s="5"/>
      <c r="H49" s="5"/>
      <c r="I49" s="6"/>
    </row>
    <row r="50" spans="1:9" x14ac:dyDescent="0.3">
      <c r="A50" s="7" t="s">
        <v>82</v>
      </c>
      <c r="B50" s="8"/>
      <c r="C50" s="8"/>
      <c r="D50" s="8"/>
      <c r="E50" s="8"/>
      <c r="F50" s="8"/>
      <c r="G50" s="8"/>
      <c r="H50" s="8"/>
      <c r="I50" s="9"/>
    </row>
    <row r="51" spans="1:9" ht="17.25" thickBot="1" x14ac:dyDescent="0.35">
      <c r="A51" s="10" t="s">
        <v>83</v>
      </c>
      <c r="B51" s="11"/>
      <c r="C51" s="11"/>
      <c r="D51" s="11"/>
      <c r="E51" s="11"/>
      <c r="F51" s="11"/>
      <c r="G51" s="11"/>
      <c r="H51" s="11"/>
      <c r="I51" s="12"/>
    </row>
  </sheetData>
  <sheetProtection algorithmName="SHA-512" hashValue="N/NhhLRGU+4/NNXbDaLD0RuICogvkL0oGR4y9W6h9N5LsLNtQP7Lc3RloTaZJx5KD7T0P5yCyge1tjRnFeCH6A==" saltValue="fzgdehDndKi7F3g5rLoReA==" spinCount="100000" sheet="1" formatRows="0"/>
  <protectedRanges>
    <protectedRange sqref="A19:I25" name="Description"/>
    <protectedRange sqref="B5:B7" name="Document_data"/>
  </protectedRange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2351B-8638-46CC-BC19-F030586BEBAB}">
  <sheetPr>
    <tabColor theme="2"/>
    <pageSetUpPr autoPageBreaks="0"/>
  </sheetPr>
  <dimension ref="A1:P51"/>
  <sheetViews>
    <sheetView zoomScaleNormal="100" workbookViewId="0"/>
  </sheetViews>
  <sheetFormatPr defaultColWidth="16" defaultRowHeight="16.5" x14ac:dyDescent="0.3"/>
  <cols>
    <col min="1" max="1" width="21.375" style="15" customWidth="1"/>
    <col min="2" max="2" width="27.5" style="15" customWidth="1"/>
    <col min="3" max="3" width="35.625" style="15" customWidth="1"/>
    <col min="4" max="5" width="20.625" style="14" customWidth="1"/>
    <col min="6" max="6" width="37.625" style="14" customWidth="1"/>
    <col min="7" max="7" width="20.625" style="14" customWidth="1"/>
    <col min="8" max="8" width="39" style="14" customWidth="1"/>
    <col min="9" max="10" width="20.625" style="14" customWidth="1"/>
    <col min="11" max="11" width="40.375" style="14" customWidth="1"/>
    <col min="12" max="12" width="20.625" style="14" customWidth="1"/>
    <col min="13" max="13" width="35.25" style="14" customWidth="1"/>
    <col min="14" max="15" width="20.625" style="14" customWidth="1"/>
    <col min="16" max="16" width="33.125" style="16" customWidth="1"/>
    <col min="17" max="16384" width="16" style="14"/>
  </cols>
  <sheetData>
    <row r="1" spans="1:16" s="270" customFormat="1" ht="14.25" x14ac:dyDescent="0.25">
      <c r="A1" s="194" t="s">
        <v>384</v>
      </c>
      <c r="B1" s="196" t="s">
        <v>39</v>
      </c>
      <c r="E1" s="196" t="s">
        <v>39</v>
      </c>
      <c r="G1" s="196"/>
      <c r="H1" s="196" t="s">
        <v>41</v>
      </c>
      <c r="L1" s="196"/>
      <c r="M1" s="196" t="s">
        <v>43</v>
      </c>
      <c r="P1" s="271"/>
    </row>
    <row r="2" spans="1:16" s="13" customFormat="1" ht="34.5" x14ac:dyDescent="0.3">
      <c r="A2" s="44" t="s">
        <v>220</v>
      </c>
      <c r="B2" s="148" t="s">
        <v>221</v>
      </c>
      <c r="C2" s="183" t="s">
        <v>51</v>
      </c>
      <c r="D2" s="173" t="s">
        <v>38</v>
      </c>
      <c r="E2" s="135" t="s">
        <v>107</v>
      </c>
      <c r="F2" s="183" t="s">
        <v>233</v>
      </c>
      <c r="G2" s="174" t="s">
        <v>40</v>
      </c>
      <c r="H2" s="139" t="s">
        <v>226</v>
      </c>
      <c r="I2" s="175" t="s">
        <v>225</v>
      </c>
      <c r="J2" s="175" t="s">
        <v>223</v>
      </c>
      <c r="K2" s="137" t="s">
        <v>234</v>
      </c>
      <c r="L2" s="176" t="s">
        <v>42</v>
      </c>
      <c r="M2" s="139" t="s">
        <v>227</v>
      </c>
      <c r="N2" s="177" t="s">
        <v>228</v>
      </c>
      <c r="O2" s="178" t="s">
        <v>229</v>
      </c>
      <c r="P2" s="179" t="s">
        <v>235</v>
      </c>
    </row>
    <row r="3" spans="1:16" s="283" customFormat="1" ht="83.25" thickBot="1" x14ac:dyDescent="0.35">
      <c r="A3" s="272" t="s">
        <v>374</v>
      </c>
      <c r="B3" s="406" t="s">
        <v>375</v>
      </c>
      <c r="C3" s="590" t="s">
        <v>376</v>
      </c>
      <c r="D3" s="273" t="s">
        <v>284</v>
      </c>
      <c r="E3" s="274" t="s">
        <v>377</v>
      </c>
      <c r="F3" s="407" t="s">
        <v>378</v>
      </c>
      <c r="G3" s="323" t="s">
        <v>284</v>
      </c>
      <c r="H3" s="274" t="s">
        <v>379</v>
      </c>
      <c r="I3" s="408" t="s">
        <v>222</v>
      </c>
      <c r="J3" s="408" t="s">
        <v>224</v>
      </c>
      <c r="K3" s="409" t="s">
        <v>380</v>
      </c>
      <c r="L3" s="290" t="s">
        <v>284</v>
      </c>
      <c r="M3" s="274" t="s">
        <v>381</v>
      </c>
      <c r="N3" s="410" t="s">
        <v>230</v>
      </c>
      <c r="O3" s="411" t="s">
        <v>231</v>
      </c>
      <c r="P3" s="412" t="s">
        <v>382</v>
      </c>
    </row>
    <row r="4" spans="1:16" ht="66" customHeight="1" x14ac:dyDescent="0.3">
      <c r="A4" s="413" t="str">
        <f>IFERROR(IF(Interfaces!M2 &lt;&gt; "", Interfaces!M2, ""),"")</f>
        <v/>
      </c>
      <c r="B4" s="414" t="str">
        <f>IF(EInfo_RLM[[#This Row],[Network Interfaces]]&lt;&gt;"", "E.Info.NetworkInterfaces", "")</f>
        <v/>
      </c>
      <c r="C4" s="415" t="str">
        <f>_xlfn.XLOOKUP(EInfo_RLM[[#This Row],[Network Interfaces]], Interfaces[Interface ID
Free text], Interfaces[Description
Free text],"", 0)</f>
        <v/>
      </c>
      <c r="D4" s="171"/>
      <c r="E4" s="389" t="str">
        <f>IF(EInfo_RLM[[#This Row],[Network Interfaces]]&lt;&gt;"",
IFERROR(IF(VALUE(RIGHT(EInfo_RLM[[#This Row],[E.Info.DT.RLM-1]]))=1, "E.Info.RLM-1.RLM", "N/A"), ""), "")</f>
        <v/>
      </c>
      <c r="F4" s="138"/>
      <c r="G4" s="119"/>
      <c r="H4" s="389" t="str" cm="1">
        <f t="array" ref="H4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4" s="424"/>
      <c r="J4" s="424"/>
      <c r="K4" s="117"/>
      <c r="L4" s="211"/>
      <c r="M4" s="389" t="str" cm="1">
        <f t="array" ref="M4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4" s="93"/>
      <c r="O4" s="94"/>
      <c r="P4" s="180"/>
    </row>
    <row r="5" spans="1:16" x14ac:dyDescent="0.3">
      <c r="A5" s="413" t="str">
        <f>IFERROR(IF(Interfaces!M3 &lt;&gt; "", Interfaces!M3, ""),"")</f>
        <v/>
      </c>
      <c r="B5" s="414" t="str">
        <f>IF(EInfo_RLM[[#This Row],[Network Interfaces]]&lt;&gt;"", "E.Info.NetworkInterfaces", "")</f>
        <v/>
      </c>
      <c r="C5" s="415" t="str">
        <f>_xlfn.XLOOKUP(EInfo_RLM[[#This Row],[Network Interfaces]], Interfaces[Interface ID
Free text], Interfaces[Description
Free text],"", 0)</f>
        <v/>
      </c>
      <c r="D5" s="105"/>
      <c r="E5" s="432" t="str">
        <f>IF(EInfo_RLM[[#This Row],[Network Interfaces]]&lt;&gt;"",
IFERROR(IF(VALUE(RIGHT(EInfo_RLM[[#This Row],[E.Info.DT.RLM-1]]))=1, "E.Info.RLM-1.RLM", "N/A"), ""), "")</f>
        <v/>
      </c>
      <c r="F5" s="55"/>
      <c r="G5" s="120"/>
      <c r="H5" s="389" t="str" cm="1">
        <f t="array" ref="H5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5" s="425"/>
      <c r="J5" s="425"/>
      <c r="K5" s="104"/>
      <c r="L5" s="210"/>
      <c r="M5" s="389" t="str" cm="1">
        <f t="array" ref="M5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5" s="418"/>
      <c r="O5" s="419"/>
      <c r="P5" s="181"/>
    </row>
    <row r="6" spans="1:16" ht="63.75" customHeight="1" x14ac:dyDescent="0.3">
      <c r="A6" s="413" t="str">
        <f>IFERROR(IF(Interfaces!M4 &lt;&gt; "", Interfaces!M4, ""),"")</f>
        <v/>
      </c>
      <c r="B6" s="414" t="str">
        <f>IF(EInfo_RLM[[#This Row],[Network Interfaces]]&lt;&gt;"", "E.Info.NetworkInterfaces", "")</f>
        <v/>
      </c>
      <c r="C6" s="415" t="str">
        <f>_xlfn.XLOOKUP(EInfo_RLM[[#This Row],[Network Interfaces]], Interfaces[Interface ID
Free text], Interfaces[Description
Free text],"", 0)</f>
        <v/>
      </c>
      <c r="D6" s="105"/>
      <c r="E6" s="432" t="str">
        <f>IF(EInfo_RLM[[#This Row],[Network Interfaces]]&lt;&gt;"",
IFERROR(IF(VALUE(RIGHT(EInfo_RLM[[#This Row],[E.Info.DT.RLM-1]]))=1, "E.Info.RLM-1.RLM", "N/A"), ""), "")</f>
        <v/>
      </c>
      <c r="F6" s="55"/>
      <c r="G6" s="120"/>
      <c r="H6" s="389" t="str" cm="1">
        <f t="array" ref="H6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6" s="425"/>
      <c r="J6" s="425"/>
      <c r="K6" s="104"/>
      <c r="L6" s="210"/>
      <c r="M6" s="389" t="str" cm="1">
        <f t="array" ref="M6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6" s="418"/>
      <c r="O6" s="419"/>
      <c r="P6" s="181"/>
    </row>
    <row r="7" spans="1:16" x14ac:dyDescent="0.3">
      <c r="A7" s="413" t="str">
        <f>IFERROR(IF(Interfaces!M5 &lt;&gt; "", Interfaces!M5, ""),"")</f>
        <v/>
      </c>
      <c r="B7" s="414" t="str">
        <f>IF(EInfo_RLM[[#This Row],[Network Interfaces]]&lt;&gt;"", "E.Info.NetworkInterfaces", "")</f>
        <v/>
      </c>
      <c r="C7" s="415" t="str">
        <f>_xlfn.XLOOKUP(EInfo_RLM[[#This Row],[Network Interfaces]], Interfaces[Interface ID
Free text], Interfaces[Description
Free text],"", 0)</f>
        <v/>
      </c>
      <c r="D7" s="105"/>
      <c r="E7" s="432" t="str">
        <f>IF(EInfo_RLM[[#This Row],[Network Interfaces]]&lt;&gt;"",
IFERROR(IF(VALUE(RIGHT(EInfo_RLM[[#This Row],[E.Info.DT.RLM-1]]))=1, "E.Info.RLM-1.RLM", "N/A"), ""), "")</f>
        <v/>
      </c>
      <c r="F7" s="55"/>
      <c r="G7" s="120"/>
      <c r="H7" s="389" t="str" cm="1">
        <f t="array" ref="H7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7" s="425"/>
      <c r="J7" s="425"/>
      <c r="K7" s="104"/>
      <c r="L7" s="210"/>
      <c r="M7" s="389" t="str" cm="1">
        <f t="array" ref="M7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7" s="418"/>
      <c r="O7" s="419"/>
      <c r="P7" s="181"/>
    </row>
    <row r="8" spans="1:16" x14ac:dyDescent="0.3">
      <c r="A8" s="413" t="str">
        <f>IFERROR(IF(Interfaces!M6 &lt;&gt; "", Interfaces!M6, ""),"")</f>
        <v/>
      </c>
      <c r="B8" s="414" t="str">
        <f>IF(EInfo_RLM[[#This Row],[Network Interfaces]]&lt;&gt;"", "E.Info.NetworkInterfaces", "")</f>
        <v/>
      </c>
      <c r="C8" s="415" t="str">
        <f>_xlfn.XLOOKUP(EInfo_RLM[[#This Row],[Network Interfaces]], Interfaces[Interface ID
Free text], Interfaces[Description
Free text],"", 0)</f>
        <v/>
      </c>
      <c r="D8" s="105"/>
      <c r="E8" s="432" t="str">
        <f>IF(EInfo_RLM[[#This Row],[Network Interfaces]]&lt;&gt;"",
IFERROR(IF(VALUE(RIGHT(EInfo_RLM[[#This Row],[E.Info.DT.RLM-1]]))=1, "E.Info.RLM-1.RLM", "N/A"), ""), "")</f>
        <v/>
      </c>
      <c r="F8" s="55"/>
      <c r="G8" s="120"/>
      <c r="H8" s="389" t="str" cm="1">
        <f t="array" ref="H8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8" s="425"/>
      <c r="J8" s="425"/>
      <c r="K8" s="104"/>
      <c r="L8" s="210"/>
      <c r="M8" s="389" t="str" cm="1">
        <f t="array" ref="M8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8" s="418"/>
      <c r="O8" s="419"/>
      <c r="P8" s="181"/>
    </row>
    <row r="9" spans="1:16" x14ac:dyDescent="0.3">
      <c r="A9" s="413" t="str">
        <f>IFERROR(IF(Interfaces!M7 &lt;&gt; "", Interfaces!M7, ""),"")</f>
        <v/>
      </c>
      <c r="B9" s="414" t="str">
        <f>IF(EInfo_RLM[[#This Row],[Network Interfaces]]&lt;&gt;"", "E.Info.NetworkInterfaces", "")</f>
        <v/>
      </c>
      <c r="C9" s="415" t="str">
        <f>_xlfn.XLOOKUP(EInfo_RLM[[#This Row],[Network Interfaces]], Interfaces[Interface ID
Free text], Interfaces[Description
Free text],"", 0)</f>
        <v/>
      </c>
      <c r="D9" s="105"/>
      <c r="E9" s="432" t="str">
        <f>IF(EInfo_RLM[[#This Row],[Network Interfaces]]&lt;&gt;"",
IFERROR(IF(VALUE(RIGHT(EInfo_RLM[[#This Row],[E.Info.DT.RLM-1]]))=1, "E.Info.RLM-1.RLM", "N/A"), ""), "")</f>
        <v/>
      </c>
      <c r="F9" s="55"/>
      <c r="G9" s="120"/>
      <c r="H9" s="389" t="str" cm="1">
        <f t="array" ref="H9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9" s="425"/>
      <c r="J9" s="425"/>
      <c r="K9" s="104"/>
      <c r="L9" s="210"/>
      <c r="M9" s="389" t="str" cm="1">
        <f t="array" ref="M9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9" s="418"/>
      <c r="O9" s="419"/>
      <c r="P9" s="181"/>
    </row>
    <row r="10" spans="1:16" x14ac:dyDescent="0.3">
      <c r="A10" s="413" t="str">
        <f>IFERROR(IF(Interfaces!M8 &lt;&gt; "", Interfaces!M8, ""),"")</f>
        <v/>
      </c>
      <c r="B10" s="414" t="str">
        <f>IF(EInfo_RLM[[#This Row],[Network Interfaces]]&lt;&gt;"", "E.Info.NetworkInterfaces", "")</f>
        <v/>
      </c>
      <c r="C10" s="415" t="str">
        <f>_xlfn.XLOOKUP(EInfo_RLM[[#This Row],[Network Interfaces]], Interfaces[Interface ID
Free text], Interfaces[Description
Free text],"", 0)</f>
        <v/>
      </c>
      <c r="D10" s="105"/>
      <c r="E10" s="432" t="str">
        <f>IF(EInfo_RLM[[#This Row],[Network Interfaces]]&lt;&gt;"",
IFERROR(IF(VALUE(RIGHT(EInfo_RLM[[#This Row],[E.Info.DT.RLM-1]]))=1, "E.Info.RLM-1.RLM", "N/A"), ""), "")</f>
        <v/>
      </c>
      <c r="F10" s="55"/>
      <c r="G10" s="120"/>
      <c r="H10" s="389" t="str" cm="1">
        <f t="array" ref="H10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10" s="425"/>
      <c r="J10" s="425"/>
      <c r="K10" s="104"/>
      <c r="L10" s="210"/>
      <c r="M10" s="389" t="str" cm="1">
        <f t="array" ref="M10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10" s="418"/>
      <c r="O10" s="419"/>
      <c r="P10" s="181"/>
    </row>
    <row r="11" spans="1:16" x14ac:dyDescent="0.3">
      <c r="A11" s="413" t="str">
        <f>IFERROR(IF(Interfaces!M9 &lt;&gt; "", Interfaces!M9, ""),"")</f>
        <v/>
      </c>
      <c r="B11" s="414" t="str">
        <f>IF(EInfo_RLM[[#This Row],[Network Interfaces]]&lt;&gt;"", "E.Info.NetworkInterfaces", "")</f>
        <v/>
      </c>
      <c r="C11" s="415" t="str">
        <f>_xlfn.XLOOKUP(EInfo_RLM[[#This Row],[Network Interfaces]], Interfaces[Interface ID
Free text], Interfaces[Description
Free text],"", 0)</f>
        <v/>
      </c>
      <c r="D11" s="105"/>
      <c r="E11" s="432" t="str">
        <f>IF(EInfo_RLM[[#This Row],[Network Interfaces]]&lt;&gt;"",
IFERROR(IF(VALUE(RIGHT(EInfo_RLM[[#This Row],[E.Info.DT.RLM-1]]))=1, "E.Info.RLM-1.RLM", "N/A"), ""), "")</f>
        <v/>
      </c>
      <c r="F11" s="55"/>
      <c r="G11" s="120"/>
      <c r="H11" s="389" t="str" cm="1">
        <f t="array" ref="H11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11" s="425"/>
      <c r="J11" s="425"/>
      <c r="K11" s="104"/>
      <c r="L11" s="210"/>
      <c r="M11" s="389" t="str" cm="1">
        <f t="array" ref="M11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11" s="418"/>
      <c r="O11" s="419"/>
      <c r="P11" s="181"/>
    </row>
    <row r="12" spans="1:16" x14ac:dyDescent="0.3">
      <c r="A12" s="413" t="str">
        <f>IFERROR(IF(Interfaces!M10 &lt;&gt; "", Interfaces!M10, ""),"")</f>
        <v/>
      </c>
      <c r="B12" s="414" t="str">
        <f>IF(EInfo_RLM[[#This Row],[Network Interfaces]]&lt;&gt;"", "E.Info.NetworkInterfaces", "")</f>
        <v/>
      </c>
      <c r="C12" s="415" t="str">
        <f>_xlfn.XLOOKUP(EInfo_RLM[[#This Row],[Network Interfaces]], Interfaces[Interface ID
Free text], Interfaces[Description
Free text],"", 0)</f>
        <v/>
      </c>
      <c r="D12" s="105"/>
      <c r="E12" s="432" t="str">
        <f>IF(EInfo_RLM[[#This Row],[Network Interfaces]]&lt;&gt;"",
IFERROR(IF(VALUE(RIGHT(EInfo_RLM[[#This Row],[E.Info.DT.RLM-1]]))=1, "E.Info.RLM-1.RLM", "N/A"), ""), "")</f>
        <v/>
      </c>
      <c r="F12" s="55"/>
      <c r="G12" s="120"/>
      <c r="H12" s="389" t="str" cm="1">
        <f t="array" ref="H12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12" s="425"/>
      <c r="J12" s="425"/>
      <c r="K12" s="104"/>
      <c r="L12" s="210"/>
      <c r="M12" s="389" t="str" cm="1">
        <f t="array" ref="M12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12" s="418"/>
      <c r="O12" s="419"/>
      <c r="P12" s="181"/>
    </row>
    <row r="13" spans="1:16" x14ac:dyDescent="0.3">
      <c r="A13" s="413" t="str">
        <f>IFERROR(IF(Interfaces!M11 &lt;&gt; "", Interfaces!M11, ""),"")</f>
        <v/>
      </c>
      <c r="B13" s="414" t="str">
        <f>IF(EInfo_RLM[[#This Row],[Network Interfaces]]&lt;&gt;"", "E.Info.NetworkInterfaces", "")</f>
        <v/>
      </c>
      <c r="C13" s="415" t="str">
        <f>_xlfn.XLOOKUP(EInfo_RLM[[#This Row],[Network Interfaces]], Interfaces[Interface ID
Free text], Interfaces[Description
Free text],"", 0)</f>
        <v/>
      </c>
      <c r="D13" s="105"/>
      <c r="E13" s="432" t="str">
        <f>IF(EInfo_RLM[[#This Row],[Network Interfaces]]&lt;&gt;"",
IFERROR(IF(VALUE(RIGHT(EInfo_RLM[[#This Row],[E.Info.DT.RLM-1]]))=1, "E.Info.RLM-1.RLM", "N/A"), ""), "")</f>
        <v/>
      </c>
      <c r="F13" s="55"/>
      <c r="G13" s="120"/>
      <c r="H13" s="389" t="str" cm="1">
        <f t="array" ref="H13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13" s="425"/>
      <c r="J13" s="425"/>
      <c r="K13" s="104"/>
      <c r="L13" s="210"/>
      <c r="M13" s="389" t="str" cm="1">
        <f t="array" ref="M13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13" s="418"/>
      <c r="O13" s="419"/>
      <c r="P13" s="181"/>
    </row>
    <row r="14" spans="1:16" x14ac:dyDescent="0.3">
      <c r="A14" s="413" t="str">
        <f>IFERROR(IF(Interfaces!M12 &lt;&gt; "", Interfaces!M12, ""),"")</f>
        <v/>
      </c>
      <c r="B14" s="414" t="str">
        <f>IF(EInfo_RLM[[#This Row],[Network Interfaces]]&lt;&gt;"", "E.Info.NetworkInterfaces", "")</f>
        <v/>
      </c>
      <c r="C14" s="415" t="str">
        <f>_xlfn.XLOOKUP(EInfo_RLM[[#This Row],[Network Interfaces]], Interfaces[Interface ID
Free text], Interfaces[Description
Free text],"", 0)</f>
        <v/>
      </c>
      <c r="D14" s="105"/>
      <c r="E14" s="432" t="str">
        <f>IF(EInfo_RLM[[#This Row],[Network Interfaces]]&lt;&gt;"",
IFERROR(IF(VALUE(RIGHT(EInfo_RLM[[#This Row],[E.Info.DT.RLM-1]]))=1, "E.Info.RLM-1.RLM", "N/A"), ""), "")</f>
        <v/>
      </c>
      <c r="F14" s="55"/>
      <c r="G14" s="120"/>
      <c r="H14" s="389" t="str" cm="1">
        <f t="array" ref="H14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14" s="425"/>
      <c r="J14" s="425"/>
      <c r="K14" s="104"/>
      <c r="L14" s="210"/>
      <c r="M14" s="389" t="str" cm="1">
        <f t="array" ref="M14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14" s="418"/>
      <c r="O14" s="419"/>
      <c r="P14" s="181"/>
    </row>
    <row r="15" spans="1:16" x14ac:dyDescent="0.3">
      <c r="A15" s="413" t="str">
        <f>IFERROR(IF(Interfaces!M13 &lt;&gt; "", Interfaces!M13, ""),"")</f>
        <v/>
      </c>
      <c r="B15" s="414" t="str">
        <f>IF(EInfo_RLM[[#This Row],[Network Interfaces]]&lt;&gt;"", "E.Info.NetworkInterfaces", "")</f>
        <v/>
      </c>
      <c r="C15" s="415" t="str">
        <f>_xlfn.XLOOKUP(EInfo_RLM[[#This Row],[Network Interfaces]], Interfaces[Interface ID
Free text], Interfaces[Description
Free text],"", 0)</f>
        <v/>
      </c>
      <c r="D15" s="105"/>
      <c r="E15" s="432" t="str">
        <f>IF(EInfo_RLM[[#This Row],[Network Interfaces]]&lt;&gt;"",
IFERROR(IF(VALUE(RIGHT(EInfo_RLM[[#This Row],[E.Info.DT.RLM-1]]))=1, "E.Info.RLM-1.RLM", "N/A"), ""), "")</f>
        <v/>
      </c>
      <c r="F15" s="55"/>
      <c r="G15" s="120"/>
      <c r="H15" s="389" t="str" cm="1">
        <f t="array" ref="H15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15" s="425"/>
      <c r="J15" s="425"/>
      <c r="K15" s="104"/>
      <c r="L15" s="210"/>
      <c r="M15" s="389" t="str" cm="1">
        <f t="array" ref="M15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15" s="418"/>
      <c r="O15" s="419"/>
      <c r="P15" s="181"/>
    </row>
    <row r="16" spans="1:16" x14ac:dyDescent="0.3">
      <c r="A16" s="413" t="str">
        <f>IFERROR(IF(Interfaces!M14 &lt;&gt; "", Interfaces!M14, ""),"")</f>
        <v/>
      </c>
      <c r="B16" s="414" t="str">
        <f>IF(EInfo_RLM[[#This Row],[Network Interfaces]]&lt;&gt;"", "E.Info.NetworkInterfaces", "")</f>
        <v/>
      </c>
      <c r="C16" s="415" t="str">
        <f>_xlfn.XLOOKUP(EInfo_RLM[[#This Row],[Network Interfaces]], Interfaces[Interface ID
Free text], Interfaces[Description
Free text],"", 0)</f>
        <v/>
      </c>
      <c r="D16" s="105"/>
      <c r="E16" s="432" t="str">
        <f>IF(EInfo_RLM[[#This Row],[Network Interfaces]]&lt;&gt;"",
IFERROR(IF(VALUE(RIGHT(EInfo_RLM[[#This Row],[E.Info.DT.RLM-1]]))=1, "E.Info.RLM-1.RLM", "N/A"), ""), "")</f>
        <v/>
      </c>
      <c r="F16" s="55"/>
      <c r="G16" s="120"/>
      <c r="H16" s="389" t="str" cm="1">
        <f t="array" ref="H16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16" s="425"/>
      <c r="J16" s="425"/>
      <c r="K16" s="104"/>
      <c r="L16" s="210"/>
      <c r="M16" s="389" t="str" cm="1">
        <f t="array" ref="M16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16" s="418"/>
      <c r="O16" s="419"/>
      <c r="P16" s="181"/>
    </row>
    <row r="17" spans="1:16" x14ac:dyDescent="0.3">
      <c r="A17" s="413" t="str">
        <f>IFERROR(IF(Interfaces!M15 &lt;&gt; "", Interfaces!M15, ""),"")</f>
        <v/>
      </c>
      <c r="B17" s="414" t="str">
        <f>IF(EInfo_RLM[[#This Row],[Network Interfaces]]&lt;&gt;"", "E.Info.NetworkInterfaces", "")</f>
        <v/>
      </c>
      <c r="C17" s="415" t="str">
        <f>_xlfn.XLOOKUP(EInfo_RLM[[#This Row],[Network Interfaces]], Interfaces[Interface ID
Free text], Interfaces[Description
Free text],"", 0)</f>
        <v/>
      </c>
      <c r="D17" s="105"/>
      <c r="E17" s="432" t="str">
        <f>IF(EInfo_RLM[[#This Row],[Network Interfaces]]&lt;&gt;"",
IFERROR(IF(VALUE(RIGHT(EInfo_RLM[[#This Row],[E.Info.DT.RLM-1]]))=1, "E.Info.RLM-1.RLM", "N/A"), ""), "")</f>
        <v/>
      </c>
      <c r="F17" s="55"/>
      <c r="G17" s="120"/>
      <c r="H17" s="389" t="str" cm="1">
        <f t="array" ref="H17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17" s="425"/>
      <c r="J17" s="425"/>
      <c r="K17" s="104"/>
      <c r="L17" s="210"/>
      <c r="M17" s="389" t="str" cm="1">
        <f t="array" ref="M17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17" s="418"/>
      <c r="O17" s="419"/>
      <c r="P17" s="181"/>
    </row>
    <row r="18" spans="1:16" x14ac:dyDescent="0.3">
      <c r="A18" s="413" t="str">
        <f>IFERROR(IF(Interfaces!M16 &lt;&gt; "", Interfaces!M16, ""),"")</f>
        <v/>
      </c>
      <c r="B18" s="414" t="str">
        <f>IF(EInfo_RLM[[#This Row],[Network Interfaces]]&lt;&gt;"", "E.Info.NetworkInterfaces", "")</f>
        <v/>
      </c>
      <c r="C18" s="415" t="str">
        <f>_xlfn.XLOOKUP(EInfo_RLM[[#This Row],[Network Interfaces]], Interfaces[Interface ID
Free text], Interfaces[Description
Free text],"", 0)</f>
        <v/>
      </c>
      <c r="D18" s="105"/>
      <c r="E18" s="432" t="str">
        <f>IF(EInfo_RLM[[#This Row],[Network Interfaces]]&lt;&gt;"",
IFERROR(IF(VALUE(RIGHT(EInfo_RLM[[#This Row],[E.Info.DT.RLM-1]]))=1, "E.Info.RLM-1.RLM", "N/A"), ""), "")</f>
        <v/>
      </c>
      <c r="F18" s="55"/>
      <c r="G18" s="120"/>
      <c r="H18" s="389" t="str" cm="1">
        <f t="array" ref="H18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18" s="425"/>
      <c r="J18" s="425"/>
      <c r="K18" s="104"/>
      <c r="L18" s="210"/>
      <c r="M18" s="389" t="str" cm="1">
        <f t="array" ref="M18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18" s="418"/>
      <c r="O18" s="419"/>
      <c r="P18" s="181"/>
    </row>
    <row r="19" spans="1:16" x14ac:dyDescent="0.3">
      <c r="A19" s="413" t="str">
        <f>IFERROR(IF(Interfaces!M17 &lt;&gt; "", Interfaces!M17, ""),"")</f>
        <v/>
      </c>
      <c r="B19" s="414" t="str">
        <f>IF(EInfo_RLM[[#This Row],[Network Interfaces]]&lt;&gt;"", "E.Info.NetworkInterfaces", "")</f>
        <v/>
      </c>
      <c r="C19" s="415" t="str">
        <f>_xlfn.XLOOKUP(EInfo_RLM[[#This Row],[Network Interfaces]], Interfaces[Interface ID
Free text], Interfaces[Description
Free text],"", 0)</f>
        <v/>
      </c>
      <c r="D19" s="105"/>
      <c r="E19" s="432" t="str">
        <f>IF(EInfo_RLM[[#This Row],[Network Interfaces]]&lt;&gt;"",
IFERROR(IF(VALUE(RIGHT(EInfo_RLM[[#This Row],[E.Info.DT.RLM-1]]))=1, "E.Info.RLM-1.RLM", "N/A"), ""), "")</f>
        <v/>
      </c>
      <c r="F19" s="55"/>
      <c r="G19" s="120"/>
      <c r="H19" s="389" t="str" cm="1">
        <f t="array" ref="H19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19" s="425"/>
      <c r="J19" s="425"/>
      <c r="K19" s="104"/>
      <c r="L19" s="210"/>
      <c r="M19" s="389" t="str" cm="1">
        <f t="array" ref="M19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19" s="418"/>
      <c r="O19" s="419"/>
      <c r="P19" s="181"/>
    </row>
    <row r="20" spans="1:16" x14ac:dyDescent="0.3">
      <c r="A20" s="413" t="str">
        <f>IFERROR(IF(Interfaces!M18 &lt;&gt; "", Interfaces!M18, ""),"")</f>
        <v/>
      </c>
      <c r="B20" s="414" t="str">
        <f>IF(EInfo_RLM[[#This Row],[Network Interfaces]]&lt;&gt;"", "E.Info.NetworkInterfaces", "")</f>
        <v/>
      </c>
      <c r="C20" s="415" t="str">
        <f>_xlfn.XLOOKUP(EInfo_RLM[[#This Row],[Network Interfaces]], Interfaces[Interface ID
Free text], Interfaces[Description
Free text],"", 0)</f>
        <v/>
      </c>
      <c r="D20" s="105"/>
      <c r="E20" s="432" t="str">
        <f>IF(EInfo_RLM[[#This Row],[Network Interfaces]]&lt;&gt;"",
IFERROR(IF(VALUE(RIGHT(EInfo_RLM[[#This Row],[E.Info.DT.RLM-1]]))=1, "E.Info.RLM-1.RLM", "N/A"), ""), "")</f>
        <v/>
      </c>
      <c r="F20" s="55"/>
      <c r="G20" s="120"/>
      <c r="H20" s="389" t="str" cm="1">
        <f t="array" ref="H20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20" s="425"/>
      <c r="J20" s="425"/>
      <c r="K20" s="104"/>
      <c r="L20" s="210"/>
      <c r="M20" s="389" t="str" cm="1">
        <f t="array" ref="M20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20" s="418"/>
      <c r="O20" s="419"/>
      <c r="P20" s="181"/>
    </row>
    <row r="21" spans="1:16" x14ac:dyDescent="0.3">
      <c r="A21" s="413" t="str">
        <f>IFERROR(IF(Interfaces!M19 &lt;&gt; "", Interfaces!M19, ""),"")</f>
        <v/>
      </c>
      <c r="B21" s="414" t="str">
        <f>IF(EInfo_RLM[[#This Row],[Network Interfaces]]&lt;&gt;"", "E.Info.NetworkInterfaces", "")</f>
        <v/>
      </c>
      <c r="C21" s="415" t="str">
        <f>_xlfn.XLOOKUP(EInfo_RLM[[#This Row],[Network Interfaces]], Interfaces[Interface ID
Free text], Interfaces[Description
Free text],"", 0)</f>
        <v/>
      </c>
      <c r="D21" s="105"/>
      <c r="E21" s="432" t="str">
        <f>IF(EInfo_RLM[[#This Row],[Network Interfaces]]&lt;&gt;"",
IFERROR(IF(VALUE(RIGHT(EInfo_RLM[[#This Row],[E.Info.DT.RLM-1]]))=1, "E.Info.RLM-1.RLM", "N/A"), ""), "")</f>
        <v/>
      </c>
      <c r="F21" s="55"/>
      <c r="G21" s="120"/>
      <c r="H21" s="389" t="str" cm="1">
        <f t="array" ref="H21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21" s="425"/>
      <c r="J21" s="425"/>
      <c r="K21" s="104"/>
      <c r="L21" s="210"/>
      <c r="M21" s="389" t="str" cm="1">
        <f t="array" ref="M21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21" s="418"/>
      <c r="O21" s="419"/>
      <c r="P21" s="181"/>
    </row>
    <row r="22" spans="1:16" x14ac:dyDescent="0.3">
      <c r="A22" s="413" t="str">
        <f>IFERROR(IF(Interfaces!M20 &lt;&gt; "", Interfaces!M20, ""),"")</f>
        <v/>
      </c>
      <c r="B22" s="414" t="str">
        <f>IF(EInfo_RLM[[#This Row],[Network Interfaces]]&lt;&gt;"", "E.Info.NetworkInterfaces", "")</f>
        <v/>
      </c>
      <c r="C22" s="415" t="str">
        <f>_xlfn.XLOOKUP(EInfo_RLM[[#This Row],[Network Interfaces]], Interfaces[Interface ID
Free text], Interfaces[Description
Free text],"", 0)</f>
        <v/>
      </c>
      <c r="D22" s="105"/>
      <c r="E22" s="432" t="str">
        <f>IF(EInfo_RLM[[#This Row],[Network Interfaces]]&lt;&gt;"",
IFERROR(IF(VALUE(RIGHT(EInfo_RLM[[#This Row],[E.Info.DT.RLM-1]]))=1, "E.Info.RLM-1.RLM", "N/A"), ""), "")</f>
        <v/>
      </c>
      <c r="F22" s="55"/>
      <c r="G22" s="120"/>
      <c r="H22" s="389" t="str" cm="1">
        <f t="array" ref="H22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22" s="425"/>
      <c r="J22" s="425"/>
      <c r="K22" s="104"/>
      <c r="L22" s="210"/>
      <c r="M22" s="389" t="str" cm="1">
        <f t="array" ref="M22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22" s="418"/>
      <c r="O22" s="419"/>
      <c r="P22" s="181"/>
    </row>
    <row r="23" spans="1:16" x14ac:dyDescent="0.3">
      <c r="A23" s="413" t="str">
        <f>IFERROR(IF(Interfaces!M21 &lt;&gt; "", Interfaces!M21, ""),"")</f>
        <v/>
      </c>
      <c r="B23" s="414" t="str">
        <f>IF(EInfo_RLM[[#This Row],[Network Interfaces]]&lt;&gt;"", "E.Info.NetworkInterfaces", "")</f>
        <v/>
      </c>
      <c r="C23" s="415" t="str">
        <f>_xlfn.XLOOKUP(EInfo_RLM[[#This Row],[Network Interfaces]], Interfaces[Interface ID
Free text], Interfaces[Description
Free text],"", 0)</f>
        <v/>
      </c>
      <c r="D23" s="105"/>
      <c r="E23" s="432" t="str">
        <f>IF(EInfo_RLM[[#This Row],[Network Interfaces]]&lt;&gt;"",
IFERROR(IF(VALUE(RIGHT(EInfo_RLM[[#This Row],[E.Info.DT.RLM-1]]))=1, "E.Info.RLM-1.RLM", "N/A"), ""), "")</f>
        <v/>
      </c>
      <c r="F23" s="55"/>
      <c r="G23" s="120"/>
      <c r="H23" s="389" t="str" cm="1">
        <f t="array" ref="H23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23" s="425"/>
      <c r="J23" s="425"/>
      <c r="K23" s="104"/>
      <c r="L23" s="210"/>
      <c r="M23" s="389" t="str" cm="1">
        <f t="array" ref="M23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23" s="418"/>
      <c r="O23" s="419"/>
      <c r="P23" s="181"/>
    </row>
    <row r="24" spans="1:16" x14ac:dyDescent="0.3">
      <c r="A24" s="413" t="str">
        <f>IFERROR(IF(Interfaces!M22 &lt;&gt; "", Interfaces!M22, ""),"")</f>
        <v/>
      </c>
      <c r="B24" s="414" t="str">
        <f>IF(EInfo_RLM[[#This Row],[Network Interfaces]]&lt;&gt;"", "E.Info.NetworkInterfaces", "")</f>
        <v/>
      </c>
      <c r="C24" s="415" t="str">
        <f>_xlfn.XLOOKUP(EInfo_RLM[[#This Row],[Network Interfaces]], Interfaces[Interface ID
Free text], Interfaces[Description
Free text],"", 0)</f>
        <v/>
      </c>
      <c r="D24" s="105"/>
      <c r="E24" s="432" t="str">
        <f>IF(EInfo_RLM[[#This Row],[Network Interfaces]]&lt;&gt;"",
IFERROR(IF(VALUE(RIGHT(EInfo_RLM[[#This Row],[E.Info.DT.RLM-1]]))=1, "E.Info.RLM-1.RLM", "N/A"), ""), "")</f>
        <v/>
      </c>
      <c r="F24" s="55"/>
      <c r="G24" s="403"/>
      <c r="H24" s="389" t="str" cm="1">
        <f t="array" ref="H24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24" s="426"/>
      <c r="J24" s="426"/>
      <c r="K24" s="104"/>
      <c r="L24" s="210"/>
      <c r="M24" s="389" t="str" cm="1">
        <f t="array" ref="M24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24" s="420"/>
      <c r="O24" s="421"/>
      <c r="P24" s="181"/>
    </row>
    <row r="25" spans="1:16" x14ac:dyDescent="0.3">
      <c r="A25" s="413" t="str">
        <f>IFERROR(IF(Interfaces!M23 &lt;&gt; "", Interfaces!M23, ""),"")</f>
        <v/>
      </c>
      <c r="B25" s="414" t="str">
        <f>IF(EInfo_RLM[[#This Row],[Network Interfaces]]&lt;&gt;"", "E.Info.NetworkInterfaces", "")</f>
        <v/>
      </c>
      <c r="C25" s="415" t="str">
        <f>_xlfn.XLOOKUP(EInfo_RLM[[#This Row],[Network Interfaces]], Interfaces[Interface ID
Free text], Interfaces[Description
Free text],"", 0)</f>
        <v/>
      </c>
      <c r="D25" s="105"/>
      <c r="E25" s="432" t="str">
        <f>IF(EInfo_RLM[[#This Row],[Network Interfaces]]&lt;&gt;"",
IFERROR(IF(VALUE(RIGHT(EInfo_RLM[[#This Row],[E.Info.DT.RLM-1]]))=1, "E.Info.RLM-1.RLM", "N/A"), ""), "")</f>
        <v/>
      </c>
      <c r="F25" s="55"/>
      <c r="G25" s="403"/>
      <c r="H25" s="389" t="str" cm="1">
        <f t="array" ref="H25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25" s="426"/>
      <c r="J25" s="426"/>
      <c r="K25" s="104"/>
      <c r="L25" s="210"/>
      <c r="M25" s="389" t="str" cm="1">
        <f t="array" ref="M25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25" s="420"/>
      <c r="O25" s="421"/>
      <c r="P25" s="181"/>
    </row>
    <row r="26" spans="1:16" x14ac:dyDescent="0.3">
      <c r="A26" s="413" t="str">
        <f>IFERROR(IF(Interfaces!M24 &lt;&gt; "", Interfaces!M24, ""),"")</f>
        <v/>
      </c>
      <c r="B26" s="414" t="str">
        <f>IF(EInfo_RLM[[#This Row],[Network Interfaces]]&lt;&gt;"", "E.Info.NetworkInterfaces", "")</f>
        <v/>
      </c>
      <c r="C26" s="415" t="str">
        <f>_xlfn.XLOOKUP(EInfo_RLM[[#This Row],[Network Interfaces]], Interfaces[Interface ID
Free text], Interfaces[Description
Free text],"", 0)</f>
        <v/>
      </c>
      <c r="D26" s="105"/>
      <c r="E26" s="432" t="str">
        <f>IF(EInfo_RLM[[#This Row],[Network Interfaces]]&lt;&gt;"",
IFERROR(IF(VALUE(RIGHT(EInfo_RLM[[#This Row],[E.Info.DT.RLM-1]]))=1, "E.Info.RLM-1.RLM", "N/A"), ""), "")</f>
        <v/>
      </c>
      <c r="F26" s="55"/>
      <c r="G26" s="403"/>
      <c r="H26" s="389" t="str" cm="1">
        <f t="array" ref="H26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26" s="426"/>
      <c r="J26" s="426"/>
      <c r="K26" s="104"/>
      <c r="L26" s="210"/>
      <c r="M26" s="389" t="str" cm="1">
        <f t="array" ref="M26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26" s="420"/>
      <c r="O26" s="421"/>
      <c r="P26" s="181"/>
    </row>
    <row r="27" spans="1:16" x14ac:dyDescent="0.3">
      <c r="A27" s="413" t="str">
        <f>IFERROR(IF(Interfaces!M25 &lt;&gt; "", Interfaces!M25, ""),"")</f>
        <v/>
      </c>
      <c r="B27" s="414" t="str">
        <f>IF(EInfo_RLM[[#This Row],[Network Interfaces]]&lt;&gt;"", "E.Info.NetworkInterfaces", "")</f>
        <v/>
      </c>
      <c r="C27" s="415" t="str">
        <f>_xlfn.XLOOKUP(EInfo_RLM[[#This Row],[Network Interfaces]], Interfaces[Interface ID
Free text], Interfaces[Description
Free text],"", 0)</f>
        <v/>
      </c>
      <c r="D27" s="105"/>
      <c r="E27" s="432" t="str">
        <f>IF(EInfo_RLM[[#This Row],[Network Interfaces]]&lt;&gt;"",
IFERROR(IF(VALUE(RIGHT(EInfo_RLM[[#This Row],[E.Info.DT.RLM-1]]))=1, "E.Info.RLM-1.RLM", "N/A"), ""), "")</f>
        <v/>
      </c>
      <c r="F27" s="55"/>
      <c r="G27" s="403"/>
      <c r="H27" s="389" t="str" cm="1">
        <f t="array" ref="H27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27" s="426"/>
      <c r="J27" s="426"/>
      <c r="K27" s="104"/>
      <c r="L27" s="210"/>
      <c r="M27" s="389" t="str" cm="1">
        <f t="array" ref="M27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27" s="420"/>
      <c r="O27" s="421"/>
      <c r="P27" s="181"/>
    </row>
    <row r="28" spans="1:16" x14ac:dyDescent="0.3">
      <c r="A28" s="413" t="str">
        <f>IFERROR(IF(Interfaces!M26 &lt;&gt; "", Interfaces!M26, ""),"")</f>
        <v/>
      </c>
      <c r="B28" s="414" t="str">
        <f>IF(EInfo_RLM[[#This Row],[Network Interfaces]]&lt;&gt;"", "E.Info.NetworkInterfaces", "")</f>
        <v/>
      </c>
      <c r="C28" s="415" t="str">
        <f>_xlfn.XLOOKUP(EInfo_RLM[[#This Row],[Network Interfaces]], Interfaces[Interface ID
Free text], Interfaces[Description
Free text],"", 0)</f>
        <v/>
      </c>
      <c r="D28" s="105"/>
      <c r="E28" s="432" t="str">
        <f>IF(EInfo_RLM[[#This Row],[Network Interfaces]]&lt;&gt;"",
IFERROR(IF(VALUE(RIGHT(EInfo_RLM[[#This Row],[E.Info.DT.RLM-1]]))=1, "E.Info.RLM-1.RLM", "N/A"), ""), "")</f>
        <v/>
      </c>
      <c r="F28" s="55"/>
      <c r="G28" s="403"/>
      <c r="H28" s="389" t="str" cm="1">
        <f t="array" ref="H28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28" s="426"/>
      <c r="J28" s="426"/>
      <c r="K28" s="104"/>
      <c r="L28" s="210"/>
      <c r="M28" s="389" t="str" cm="1">
        <f t="array" ref="M28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28" s="420"/>
      <c r="O28" s="421"/>
      <c r="P28" s="181"/>
    </row>
    <row r="29" spans="1:16" x14ac:dyDescent="0.3">
      <c r="A29" s="413" t="str">
        <f>IFERROR(IF(Interfaces!M27 &lt;&gt; "", Interfaces!M27, ""),"")</f>
        <v/>
      </c>
      <c r="B29" s="414" t="str">
        <f>IF(EInfo_RLM[[#This Row],[Network Interfaces]]&lt;&gt;"", "E.Info.NetworkInterfaces", "")</f>
        <v/>
      </c>
      <c r="C29" s="415" t="str">
        <f>_xlfn.XLOOKUP(EInfo_RLM[[#This Row],[Network Interfaces]], Interfaces[Interface ID
Free text], Interfaces[Description
Free text],"", 0)</f>
        <v/>
      </c>
      <c r="D29" s="105"/>
      <c r="E29" s="432" t="str">
        <f>IF(EInfo_RLM[[#This Row],[Network Interfaces]]&lt;&gt;"",
IFERROR(IF(VALUE(RIGHT(EInfo_RLM[[#This Row],[E.Info.DT.RLM-1]]))=1, "E.Info.RLM-1.RLM", "N/A"), ""), "")</f>
        <v/>
      </c>
      <c r="F29" s="55"/>
      <c r="G29" s="403"/>
      <c r="H29" s="389" t="str" cm="1">
        <f t="array" ref="H29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29" s="426"/>
      <c r="J29" s="426"/>
      <c r="K29" s="104"/>
      <c r="L29" s="210"/>
      <c r="M29" s="389" t="str" cm="1">
        <f t="array" ref="M29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29" s="420"/>
      <c r="O29" s="421"/>
      <c r="P29" s="181"/>
    </row>
    <row r="30" spans="1:16" x14ac:dyDescent="0.3">
      <c r="A30" s="413" t="str">
        <f>IFERROR(IF(Interfaces!M28 &lt;&gt; "", Interfaces!M28, ""),"")</f>
        <v/>
      </c>
      <c r="B30" s="414" t="str">
        <f>IF(EInfo_RLM[[#This Row],[Network Interfaces]]&lt;&gt;"", "E.Info.NetworkInterfaces", "")</f>
        <v/>
      </c>
      <c r="C30" s="415" t="str">
        <f>_xlfn.XLOOKUP(EInfo_RLM[[#This Row],[Network Interfaces]], Interfaces[Interface ID
Free text], Interfaces[Description
Free text],"", 0)</f>
        <v/>
      </c>
      <c r="D30" s="105"/>
      <c r="E30" s="432" t="str">
        <f>IF(EInfo_RLM[[#This Row],[Network Interfaces]]&lt;&gt;"",
IFERROR(IF(VALUE(RIGHT(EInfo_RLM[[#This Row],[E.Info.DT.RLM-1]]))=1, "E.Info.RLM-1.RLM", "N/A"), ""), "")</f>
        <v/>
      </c>
      <c r="F30" s="55"/>
      <c r="G30" s="403"/>
      <c r="H30" s="389" t="str" cm="1">
        <f t="array" ref="H30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30" s="426"/>
      <c r="J30" s="426"/>
      <c r="K30" s="104"/>
      <c r="L30" s="210"/>
      <c r="M30" s="389" t="str" cm="1">
        <f t="array" ref="M30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30" s="420"/>
      <c r="O30" s="421"/>
      <c r="P30" s="181"/>
    </row>
    <row r="31" spans="1:16" x14ac:dyDescent="0.3">
      <c r="A31" s="413" t="str">
        <f>IFERROR(IF(Interfaces!M29 &lt;&gt; "", Interfaces!M29, ""),"")</f>
        <v/>
      </c>
      <c r="B31" s="414" t="str">
        <f>IF(EInfo_RLM[[#This Row],[Network Interfaces]]&lt;&gt;"", "E.Info.NetworkInterfaces", "")</f>
        <v/>
      </c>
      <c r="C31" s="415" t="str">
        <f>_xlfn.XLOOKUP(EInfo_RLM[[#This Row],[Network Interfaces]], Interfaces[Interface ID
Free text], Interfaces[Description
Free text],"", 0)</f>
        <v/>
      </c>
      <c r="D31" s="105"/>
      <c r="E31" s="432" t="str">
        <f>IF(EInfo_RLM[[#This Row],[Network Interfaces]]&lt;&gt;"",
IFERROR(IF(VALUE(RIGHT(EInfo_RLM[[#This Row],[E.Info.DT.RLM-1]]))=1, "E.Info.RLM-1.RLM", "N/A"), ""), "")</f>
        <v/>
      </c>
      <c r="F31" s="55"/>
      <c r="G31" s="403"/>
      <c r="H31" s="389" t="str" cm="1">
        <f t="array" ref="H31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31" s="426"/>
      <c r="J31" s="426"/>
      <c r="K31" s="104"/>
      <c r="L31" s="210"/>
      <c r="M31" s="389" t="str" cm="1">
        <f t="array" ref="M31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31" s="420"/>
      <c r="O31" s="421"/>
      <c r="P31" s="181"/>
    </row>
    <row r="32" spans="1:16" x14ac:dyDescent="0.3">
      <c r="A32" s="413" t="str">
        <f>IFERROR(IF(Interfaces!M30 &lt;&gt; "", Interfaces!M30, ""),"")</f>
        <v/>
      </c>
      <c r="B32" s="414" t="str">
        <f>IF(EInfo_RLM[[#This Row],[Network Interfaces]]&lt;&gt;"", "E.Info.NetworkInterfaces", "")</f>
        <v/>
      </c>
      <c r="C32" s="415" t="str">
        <f>_xlfn.XLOOKUP(EInfo_RLM[[#This Row],[Network Interfaces]], Interfaces[Interface ID
Free text], Interfaces[Description
Free text],"", 0)</f>
        <v/>
      </c>
      <c r="D32" s="105"/>
      <c r="E32" s="432" t="str">
        <f>IF(EInfo_RLM[[#This Row],[Network Interfaces]]&lt;&gt;"",
IFERROR(IF(VALUE(RIGHT(EInfo_RLM[[#This Row],[E.Info.DT.RLM-1]]))=1, "E.Info.RLM-1.RLM", "N/A"), ""), "")</f>
        <v/>
      </c>
      <c r="F32" s="55"/>
      <c r="G32" s="403"/>
      <c r="H32" s="389" t="str" cm="1">
        <f t="array" ref="H32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32" s="426"/>
      <c r="J32" s="426"/>
      <c r="K32" s="104"/>
      <c r="L32" s="210"/>
      <c r="M32" s="389" t="str" cm="1">
        <f t="array" ref="M32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32" s="420"/>
      <c r="O32" s="421"/>
      <c r="P32" s="181"/>
    </row>
    <row r="33" spans="1:16" x14ac:dyDescent="0.3">
      <c r="A33" s="413" t="str">
        <f>IFERROR(IF(Interfaces!M31 &lt;&gt; "", Interfaces!M31, ""),"")</f>
        <v/>
      </c>
      <c r="B33" s="414" t="str">
        <f>IF(EInfo_RLM[[#This Row],[Network Interfaces]]&lt;&gt;"", "E.Info.NetworkInterfaces", "")</f>
        <v/>
      </c>
      <c r="C33" s="415" t="str">
        <f>_xlfn.XLOOKUP(EInfo_RLM[[#This Row],[Network Interfaces]], Interfaces[Interface ID
Free text], Interfaces[Description
Free text],"", 0)</f>
        <v/>
      </c>
      <c r="D33" s="105"/>
      <c r="E33" s="432" t="str">
        <f>IF(EInfo_RLM[[#This Row],[Network Interfaces]]&lt;&gt;"",
IFERROR(IF(VALUE(RIGHT(EInfo_RLM[[#This Row],[E.Info.DT.RLM-1]]))=1, "E.Info.RLM-1.RLM", "N/A"), ""), "")</f>
        <v/>
      </c>
      <c r="F33" s="55"/>
      <c r="G33" s="403"/>
      <c r="H33" s="389" t="str" cm="1">
        <f t="array" ref="H33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33" s="426"/>
      <c r="J33" s="426"/>
      <c r="K33" s="104"/>
      <c r="L33" s="210"/>
      <c r="M33" s="389" t="str" cm="1">
        <f t="array" ref="M33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33" s="420"/>
      <c r="O33" s="421"/>
      <c r="P33" s="181"/>
    </row>
    <row r="34" spans="1:16" x14ac:dyDescent="0.3">
      <c r="A34" s="413" t="str">
        <f>IFERROR(IF(Interfaces!M32 &lt;&gt; "", Interfaces!M32, ""),"")</f>
        <v/>
      </c>
      <c r="B34" s="414" t="str">
        <f>IF(EInfo_RLM[[#This Row],[Network Interfaces]]&lt;&gt;"", "E.Info.NetworkInterfaces", "")</f>
        <v/>
      </c>
      <c r="C34" s="415" t="str">
        <f>_xlfn.XLOOKUP(EInfo_RLM[[#This Row],[Network Interfaces]], Interfaces[Interface ID
Free text], Interfaces[Description
Free text],"", 0)</f>
        <v/>
      </c>
      <c r="D34" s="105"/>
      <c r="E34" s="432" t="str">
        <f>IF(EInfo_RLM[[#This Row],[Network Interfaces]]&lt;&gt;"",
IFERROR(IF(VALUE(RIGHT(EInfo_RLM[[#This Row],[E.Info.DT.RLM-1]]))=1, "E.Info.RLM-1.RLM", "N/A"), ""), "")</f>
        <v/>
      </c>
      <c r="F34" s="55"/>
      <c r="G34" s="403"/>
      <c r="H34" s="389" t="str" cm="1">
        <f t="array" ref="H34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34" s="426"/>
      <c r="J34" s="426"/>
      <c r="K34" s="104"/>
      <c r="L34" s="210"/>
      <c r="M34" s="389" t="str" cm="1">
        <f t="array" ref="M34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34" s="420"/>
      <c r="O34" s="421"/>
      <c r="P34" s="181"/>
    </row>
    <row r="35" spans="1:16" x14ac:dyDescent="0.3">
      <c r="A35" s="413" t="str">
        <f>IFERROR(IF(Interfaces!M33 &lt;&gt; "", Interfaces!M33, ""),"")</f>
        <v/>
      </c>
      <c r="B35" s="414" t="str">
        <f>IF(EInfo_RLM[[#This Row],[Network Interfaces]]&lt;&gt;"", "E.Info.NetworkInterfaces", "")</f>
        <v/>
      </c>
      <c r="C35" s="415" t="str">
        <f>_xlfn.XLOOKUP(EInfo_RLM[[#This Row],[Network Interfaces]], Interfaces[Interface ID
Free text], Interfaces[Description
Free text],"", 0)</f>
        <v/>
      </c>
      <c r="D35" s="105"/>
      <c r="E35" s="432" t="str">
        <f>IF(EInfo_RLM[[#This Row],[Network Interfaces]]&lt;&gt;"",
IFERROR(IF(VALUE(RIGHT(EInfo_RLM[[#This Row],[E.Info.DT.RLM-1]]))=1, "E.Info.RLM-1.RLM", "N/A"), ""), "")</f>
        <v/>
      </c>
      <c r="F35" s="55"/>
      <c r="G35" s="403"/>
      <c r="H35" s="389" t="str" cm="1">
        <f t="array" ref="H35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35" s="426"/>
      <c r="J35" s="426"/>
      <c r="K35" s="104"/>
      <c r="L35" s="210"/>
      <c r="M35" s="389" t="str" cm="1">
        <f t="array" ref="M35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35" s="420"/>
      <c r="O35" s="421"/>
      <c r="P35" s="181"/>
    </row>
    <row r="36" spans="1:16" x14ac:dyDescent="0.3">
      <c r="A36" s="413" t="str">
        <f>IFERROR(IF(Interfaces!M34 &lt;&gt; "", Interfaces!M34, ""),"")</f>
        <v/>
      </c>
      <c r="B36" s="414" t="str">
        <f>IF(EInfo_RLM[[#This Row],[Network Interfaces]]&lt;&gt;"", "E.Info.NetworkInterfaces", "")</f>
        <v/>
      </c>
      <c r="C36" s="415" t="str">
        <f>_xlfn.XLOOKUP(EInfo_RLM[[#This Row],[Network Interfaces]], Interfaces[Interface ID
Free text], Interfaces[Description
Free text],"", 0)</f>
        <v/>
      </c>
      <c r="D36" s="105"/>
      <c r="E36" s="432" t="str">
        <f>IF(EInfo_RLM[[#This Row],[Network Interfaces]]&lt;&gt;"",
IFERROR(IF(VALUE(RIGHT(EInfo_RLM[[#This Row],[E.Info.DT.RLM-1]]))=1, "E.Info.RLM-1.RLM", "N/A"), ""), "")</f>
        <v/>
      </c>
      <c r="F36" s="55"/>
      <c r="G36" s="403"/>
      <c r="H36" s="389" t="str" cm="1">
        <f t="array" ref="H36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36" s="426"/>
      <c r="J36" s="426"/>
      <c r="K36" s="104"/>
      <c r="L36" s="210"/>
      <c r="M36" s="389" t="str" cm="1">
        <f t="array" ref="M36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36" s="420"/>
      <c r="O36" s="421"/>
      <c r="P36" s="181"/>
    </row>
    <row r="37" spans="1:16" x14ac:dyDescent="0.3">
      <c r="A37" s="413" t="str">
        <f>IFERROR(IF(Interfaces!M35 &lt;&gt; "", Interfaces!M35, ""),"")</f>
        <v/>
      </c>
      <c r="B37" s="414" t="str">
        <f>IF(EInfo_RLM[[#This Row],[Network Interfaces]]&lt;&gt;"", "E.Info.NetworkInterfaces", "")</f>
        <v/>
      </c>
      <c r="C37" s="415" t="str">
        <f>_xlfn.XLOOKUP(EInfo_RLM[[#This Row],[Network Interfaces]], Interfaces[Interface ID
Free text], Interfaces[Description
Free text],"", 0)</f>
        <v/>
      </c>
      <c r="D37" s="105"/>
      <c r="E37" s="432" t="str">
        <f>IF(EInfo_RLM[[#This Row],[Network Interfaces]]&lt;&gt;"",
IFERROR(IF(VALUE(RIGHT(EInfo_RLM[[#This Row],[E.Info.DT.RLM-1]]))=1, "E.Info.RLM-1.RLM", "N/A"), ""), "")</f>
        <v/>
      </c>
      <c r="F37" s="55"/>
      <c r="G37" s="403"/>
      <c r="H37" s="389" t="str" cm="1">
        <f t="array" ref="H37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37" s="426"/>
      <c r="J37" s="426"/>
      <c r="K37" s="104"/>
      <c r="L37" s="210"/>
      <c r="M37" s="389" t="str" cm="1">
        <f t="array" ref="M37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37" s="420"/>
      <c r="O37" s="421"/>
      <c r="P37" s="181"/>
    </row>
    <row r="38" spans="1:16" x14ac:dyDescent="0.3">
      <c r="A38" s="413" t="str">
        <f>IFERROR(IF(Interfaces!M36 &lt;&gt; "", Interfaces!M36, ""),"")</f>
        <v/>
      </c>
      <c r="B38" s="414" t="str">
        <f>IF(EInfo_RLM[[#This Row],[Network Interfaces]]&lt;&gt;"", "E.Info.NetworkInterfaces", "")</f>
        <v/>
      </c>
      <c r="C38" s="415" t="str">
        <f>_xlfn.XLOOKUP(EInfo_RLM[[#This Row],[Network Interfaces]], Interfaces[Interface ID
Free text], Interfaces[Description
Free text],"", 0)</f>
        <v/>
      </c>
      <c r="D38" s="105"/>
      <c r="E38" s="432" t="str">
        <f>IF(EInfo_RLM[[#This Row],[Network Interfaces]]&lt;&gt;"",
IFERROR(IF(VALUE(RIGHT(EInfo_RLM[[#This Row],[E.Info.DT.RLM-1]]))=1, "E.Info.RLM-1.RLM", "N/A"), ""), "")</f>
        <v/>
      </c>
      <c r="F38" s="55"/>
      <c r="G38" s="403"/>
      <c r="H38" s="389" t="str" cm="1">
        <f t="array" ref="H38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38" s="426"/>
      <c r="J38" s="426"/>
      <c r="K38" s="104"/>
      <c r="L38" s="210"/>
      <c r="M38" s="389" t="str" cm="1">
        <f t="array" ref="M38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38" s="420"/>
      <c r="O38" s="421"/>
      <c r="P38" s="181"/>
    </row>
    <row r="39" spans="1:16" x14ac:dyDescent="0.3">
      <c r="A39" s="413" t="str">
        <f>IFERROR(IF(Interfaces!M37 &lt;&gt; "", Interfaces!M37, ""),"")</f>
        <v/>
      </c>
      <c r="B39" s="414" t="str">
        <f>IF(EInfo_RLM[[#This Row],[Network Interfaces]]&lt;&gt;"", "E.Info.NetworkInterfaces", "")</f>
        <v/>
      </c>
      <c r="C39" s="415" t="str">
        <f>_xlfn.XLOOKUP(EInfo_RLM[[#This Row],[Network Interfaces]], Interfaces[Interface ID
Free text], Interfaces[Description
Free text],"", 0)</f>
        <v/>
      </c>
      <c r="D39" s="105"/>
      <c r="E39" s="432" t="str">
        <f>IF(EInfo_RLM[[#This Row],[Network Interfaces]]&lt;&gt;"",
IFERROR(IF(VALUE(RIGHT(EInfo_RLM[[#This Row],[E.Info.DT.RLM-1]]))=1, "E.Info.RLM-1.RLM", "N/A"), ""), "")</f>
        <v/>
      </c>
      <c r="F39" s="55"/>
      <c r="G39" s="403"/>
      <c r="H39" s="389" t="str" cm="1">
        <f t="array" ref="H39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39" s="426"/>
      <c r="J39" s="426"/>
      <c r="K39" s="104"/>
      <c r="L39" s="210"/>
      <c r="M39" s="389" t="str" cm="1">
        <f t="array" ref="M39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39" s="420"/>
      <c r="O39" s="421"/>
      <c r="P39" s="181"/>
    </row>
    <row r="40" spans="1:16" x14ac:dyDescent="0.3">
      <c r="A40" s="413" t="str">
        <f>IFERROR(IF(Interfaces!M38 &lt;&gt; "", Interfaces!M38, ""),"")</f>
        <v/>
      </c>
      <c r="B40" s="414" t="str">
        <f>IF(EInfo_RLM[[#This Row],[Network Interfaces]]&lt;&gt;"", "E.Info.NetworkInterfaces", "")</f>
        <v/>
      </c>
      <c r="C40" s="415" t="str">
        <f>_xlfn.XLOOKUP(EInfo_RLM[[#This Row],[Network Interfaces]], Interfaces[Interface ID
Free text], Interfaces[Description
Free text],"", 0)</f>
        <v/>
      </c>
      <c r="D40" s="105"/>
      <c r="E40" s="432" t="str">
        <f>IF(EInfo_RLM[[#This Row],[Network Interfaces]]&lt;&gt;"",
IFERROR(IF(VALUE(RIGHT(EInfo_RLM[[#This Row],[E.Info.DT.RLM-1]]))=1, "E.Info.RLM-1.RLM", "N/A"), ""), "")</f>
        <v/>
      </c>
      <c r="F40" s="55"/>
      <c r="G40" s="403"/>
      <c r="H40" s="389" t="str" cm="1">
        <f t="array" ref="H40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40" s="426"/>
      <c r="J40" s="426"/>
      <c r="K40" s="104"/>
      <c r="L40" s="210"/>
      <c r="M40" s="389" t="str" cm="1">
        <f t="array" ref="M40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40" s="420"/>
      <c r="O40" s="421"/>
      <c r="P40" s="181"/>
    </row>
    <row r="41" spans="1:16" x14ac:dyDescent="0.3">
      <c r="A41" s="413" t="str">
        <f>IFERROR(IF(Interfaces!M39 &lt;&gt; "", Interfaces!M39, ""),"")</f>
        <v/>
      </c>
      <c r="B41" s="414" t="str">
        <f>IF(EInfo_RLM[[#This Row],[Network Interfaces]]&lt;&gt;"", "E.Info.NetworkInterfaces", "")</f>
        <v/>
      </c>
      <c r="C41" s="415" t="str">
        <f>_xlfn.XLOOKUP(EInfo_RLM[[#This Row],[Network Interfaces]], Interfaces[Interface ID
Free text], Interfaces[Description
Free text],"", 0)</f>
        <v/>
      </c>
      <c r="D41" s="105"/>
      <c r="E41" s="432" t="str">
        <f>IF(EInfo_RLM[[#This Row],[Network Interfaces]]&lt;&gt;"",
IFERROR(IF(VALUE(RIGHT(EInfo_RLM[[#This Row],[E.Info.DT.RLM-1]]))=1, "E.Info.RLM-1.RLM", "N/A"), ""), "")</f>
        <v/>
      </c>
      <c r="F41" s="55"/>
      <c r="G41" s="403"/>
      <c r="H41" s="389" t="str" cm="1">
        <f t="array" ref="H41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41" s="426"/>
      <c r="J41" s="426"/>
      <c r="K41" s="104"/>
      <c r="L41" s="210"/>
      <c r="M41" s="389" t="str" cm="1">
        <f t="array" ref="M41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41" s="420"/>
      <c r="O41" s="421"/>
      <c r="P41" s="181"/>
    </row>
    <row r="42" spans="1:16" x14ac:dyDescent="0.3">
      <c r="A42" s="413" t="str">
        <f>IFERROR(IF(Interfaces!M40 &lt;&gt; "", Interfaces!M40, ""),"")</f>
        <v/>
      </c>
      <c r="B42" s="414" t="str">
        <f>IF(EInfo_RLM[[#This Row],[Network Interfaces]]&lt;&gt;"", "E.Info.NetworkInterfaces", "")</f>
        <v/>
      </c>
      <c r="C42" s="415" t="str">
        <f>_xlfn.XLOOKUP(EInfo_RLM[[#This Row],[Network Interfaces]], Interfaces[Interface ID
Free text], Interfaces[Description
Free text],"", 0)</f>
        <v/>
      </c>
      <c r="D42" s="105"/>
      <c r="E42" s="432" t="str">
        <f>IF(EInfo_RLM[[#This Row],[Network Interfaces]]&lt;&gt;"",
IFERROR(IF(VALUE(RIGHT(EInfo_RLM[[#This Row],[E.Info.DT.RLM-1]]))=1, "E.Info.RLM-1.RLM", "N/A"), ""), "")</f>
        <v/>
      </c>
      <c r="F42" s="55"/>
      <c r="G42" s="120"/>
      <c r="H42" s="389" t="str" cm="1">
        <f t="array" ref="H42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42" s="425"/>
      <c r="J42" s="425"/>
      <c r="K42" s="104"/>
      <c r="L42" s="210"/>
      <c r="M42" s="389" t="str" cm="1">
        <f t="array" ref="M42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42" s="418"/>
      <c r="O42" s="419"/>
      <c r="P42" s="181"/>
    </row>
    <row r="43" spans="1:16" x14ac:dyDescent="0.3">
      <c r="A43" s="413" t="str">
        <f>IFERROR(IF(Interfaces!M41 &lt;&gt; "", Interfaces!M41, ""),"")</f>
        <v/>
      </c>
      <c r="B43" s="414" t="str">
        <f>IF(EInfo_RLM[[#This Row],[Network Interfaces]]&lt;&gt;"", "E.Info.NetworkInterfaces", "")</f>
        <v/>
      </c>
      <c r="C43" s="415" t="str">
        <f>_xlfn.XLOOKUP(EInfo_RLM[[#This Row],[Network Interfaces]], Interfaces[Interface ID
Free text], Interfaces[Description
Free text],"", 0)</f>
        <v/>
      </c>
      <c r="D43" s="105"/>
      <c r="E43" s="432" t="str">
        <f>IF(EInfo_RLM[[#This Row],[Network Interfaces]]&lt;&gt;"",
IFERROR(IF(VALUE(RIGHT(EInfo_RLM[[#This Row],[E.Info.DT.RLM-1]]))=1, "E.Info.RLM-1.RLM", "N/A"), ""), "")</f>
        <v/>
      </c>
      <c r="F43" s="55"/>
      <c r="G43" s="120"/>
      <c r="H43" s="389" t="str" cm="1">
        <f t="array" ref="H43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43" s="425"/>
      <c r="J43" s="425"/>
      <c r="K43" s="104"/>
      <c r="L43" s="210"/>
      <c r="M43" s="389" t="str" cm="1">
        <f t="array" ref="M43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43" s="418"/>
      <c r="O43" s="419"/>
      <c r="P43" s="181"/>
    </row>
    <row r="44" spans="1:16" x14ac:dyDescent="0.3">
      <c r="A44" s="413" t="str">
        <f>IFERROR(IF(Interfaces!M42 &lt;&gt; "", Interfaces!M42, ""),"")</f>
        <v/>
      </c>
      <c r="B44" s="414" t="str">
        <f>IF(EInfo_RLM[[#This Row],[Network Interfaces]]&lt;&gt;"", "E.Info.NetworkInterfaces", "")</f>
        <v/>
      </c>
      <c r="C44" s="415" t="str">
        <f>_xlfn.XLOOKUP(EInfo_RLM[[#This Row],[Network Interfaces]], Interfaces[Interface ID
Free text], Interfaces[Description
Free text],"", 0)</f>
        <v/>
      </c>
      <c r="D44" s="105"/>
      <c r="E44" s="432" t="str">
        <f>IF(EInfo_RLM[[#This Row],[Network Interfaces]]&lt;&gt;"",
IFERROR(IF(VALUE(RIGHT(EInfo_RLM[[#This Row],[E.Info.DT.RLM-1]]))=1, "E.Info.RLM-1.RLM", "N/A"), ""), "")</f>
        <v/>
      </c>
      <c r="F44" s="55"/>
      <c r="G44" s="120"/>
      <c r="H44" s="389" t="str" cm="1">
        <f t="array" ref="H44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44" s="425"/>
      <c r="J44" s="425"/>
      <c r="K44" s="104"/>
      <c r="L44" s="210"/>
      <c r="M44" s="389" t="str" cm="1">
        <f t="array" ref="M44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44" s="418"/>
      <c r="O44" s="419"/>
      <c r="P44" s="181"/>
    </row>
    <row r="45" spans="1:16" x14ac:dyDescent="0.3">
      <c r="A45" s="413" t="str">
        <f>IFERROR(IF(Interfaces!M43 &lt;&gt; "", Interfaces!M43, ""),"")</f>
        <v/>
      </c>
      <c r="B45" s="414" t="str">
        <f>IF(EInfo_RLM[[#This Row],[Network Interfaces]]&lt;&gt;"", "E.Info.NetworkInterfaces", "")</f>
        <v/>
      </c>
      <c r="C45" s="415" t="str">
        <f>_xlfn.XLOOKUP(EInfo_RLM[[#This Row],[Network Interfaces]], Interfaces[Interface ID
Free text], Interfaces[Description
Free text],"", 0)</f>
        <v/>
      </c>
      <c r="D45" s="105"/>
      <c r="E45" s="432" t="str">
        <f>IF(EInfo_RLM[[#This Row],[Network Interfaces]]&lt;&gt;"",
IFERROR(IF(VALUE(RIGHT(EInfo_RLM[[#This Row],[E.Info.DT.RLM-1]]))=1, "E.Info.RLM-1.RLM", "N/A"), ""), "")</f>
        <v/>
      </c>
      <c r="F45" s="55"/>
      <c r="G45" s="120"/>
      <c r="H45" s="389" t="str" cm="1">
        <f t="array" ref="H45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45" s="425"/>
      <c r="J45" s="425"/>
      <c r="K45" s="104"/>
      <c r="L45" s="210"/>
      <c r="M45" s="389" t="str" cm="1">
        <f t="array" ref="M45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45" s="418"/>
      <c r="O45" s="419"/>
      <c r="P45" s="181"/>
    </row>
    <row r="46" spans="1:16" x14ac:dyDescent="0.3">
      <c r="A46" s="413" t="str">
        <f>IFERROR(IF(Interfaces!M44 &lt;&gt; "", Interfaces!M44, ""),"")</f>
        <v/>
      </c>
      <c r="B46" s="414" t="str">
        <f>IF(EInfo_RLM[[#This Row],[Network Interfaces]]&lt;&gt;"", "E.Info.NetworkInterfaces", "")</f>
        <v/>
      </c>
      <c r="C46" s="415" t="str">
        <f>_xlfn.XLOOKUP(EInfo_RLM[[#This Row],[Network Interfaces]], Interfaces[Interface ID
Free text], Interfaces[Description
Free text],"", 0)</f>
        <v/>
      </c>
      <c r="D46" s="105"/>
      <c r="E46" s="432" t="str">
        <f>IF(EInfo_RLM[[#This Row],[Network Interfaces]]&lt;&gt;"",
IFERROR(IF(VALUE(RIGHT(EInfo_RLM[[#This Row],[E.Info.DT.RLM-1]]))=1, "E.Info.RLM-1.RLM", "N/A"), ""), "")</f>
        <v/>
      </c>
      <c r="F46" s="55"/>
      <c r="G46" s="120"/>
      <c r="H46" s="389" t="str" cm="1">
        <f t="array" ref="H46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46" s="425"/>
      <c r="J46" s="425"/>
      <c r="K46" s="104"/>
      <c r="L46" s="210"/>
      <c r="M46" s="389" t="str" cm="1">
        <f t="array" ref="M46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46" s="418"/>
      <c r="O46" s="419"/>
      <c r="P46" s="181"/>
    </row>
    <row r="47" spans="1:16" x14ac:dyDescent="0.3">
      <c r="A47" s="413" t="str">
        <f>IFERROR(IF(Interfaces!M45 &lt;&gt; "", Interfaces!M45, ""),"")</f>
        <v/>
      </c>
      <c r="B47" s="414" t="str">
        <f>IF(EInfo_RLM[[#This Row],[Network Interfaces]]&lt;&gt;"", "E.Info.NetworkInterfaces", "")</f>
        <v/>
      </c>
      <c r="C47" s="415" t="str">
        <f>_xlfn.XLOOKUP(EInfo_RLM[[#This Row],[Network Interfaces]], Interfaces[Interface ID
Free text], Interfaces[Description
Free text],"", 0)</f>
        <v/>
      </c>
      <c r="D47" s="105"/>
      <c r="E47" s="432" t="str">
        <f>IF(EInfo_RLM[[#This Row],[Network Interfaces]]&lt;&gt;"",
IFERROR(IF(VALUE(RIGHT(EInfo_RLM[[#This Row],[E.Info.DT.RLM-1]]))=1, "E.Info.RLM-1.RLM", "N/A"), ""), "")</f>
        <v/>
      </c>
      <c r="F47" s="55"/>
      <c r="G47" s="120"/>
      <c r="H47" s="389" t="str" cm="1">
        <f t="array" ref="H47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47" s="425"/>
      <c r="J47" s="425"/>
      <c r="K47" s="104"/>
      <c r="L47" s="210"/>
      <c r="M47" s="389" t="str" cm="1">
        <f t="array" ref="M47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47" s="418"/>
      <c r="O47" s="419"/>
      <c r="P47" s="181"/>
    </row>
    <row r="48" spans="1:16" x14ac:dyDescent="0.3">
      <c r="A48" s="413" t="str">
        <f>IFERROR(IF(Interfaces!M46 &lt;&gt; "", Interfaces!M46, ""),"")</f>
        <v/>
      </c>
      <c r="B48" s="414" t="str">
        <f>IF(EInfo_RLM[[#This Row],[Network Interfaces]]&lt;&gt;"", "E.Info.NetworkInterfaces", "")</f>
        <v/>
      </c>
      <c r="C48" s="415" t="str">
        <f>_xlfn.XLOOKUP(EInfo_RLM[[#This Row],[Network Interfaces]], Interfaces[Interface ID
Free text], Interfaces[Description
Free text],"", 0)</f>
        <v/>
      </c>
      <c r="D48" s="105"/>
      <c r="E48" s="432" t="str">
        <f>IF(EInfo_RLM[[#This Row],[Network Interfaces]]&lt;&gt;"",
IFERROR(IF(VALUE(RIGHT(EInfo_RLM[[#This Row],[E.Info.DT.RLM-1]]))=1, "E.Info.RLM-1.RLM", "N/A"), ""), "")</f>
        <v/>
      </c>
      <c r="F48" s="55"/>
      <c r="G48" s="120"/>
      <c r="H48" s="389" t="str" cm="1">
        <f t="array" ref="H48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48" s="425"/>
      <c r="J48" s="425"/>
      <c r="K48" s="104"/>
      <c r="L48" s="210"/>
      <c r="M48" s="389" t="str" cm="1">
        <f t="array" ref="M48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48" s="418"/>
      <c r="O48" s="419"/>
      <c r="P48" s="181"/>
    </row>
    <row r="49" spans="1:16" x14ac:dyDescent="0.3">
      <c r="A49" s="413" t="str">
        <f>IFERROR(IF(Interfaces!M47 &lt;&gt; "", Interfaces!M47, ""),"")</f>
        <v/>
      </c>
      <c r="B49" s="414" t="str">
        <f>IF(EInfo_RLM[[#This Row],[Network Interfaces]]&lt;&gt;"", "E.Info.NetworkInterfaces", "")</f>
        <v/>
      </c>
      <c r="C49" s="415" t="str">
        <f>_xlfn.XLOOKUP(EInfo_RLM[[#This Row],[Network Interfaces]], Interfaces[Interface ID
Free text], Interfaces[Description
Free text],"", 0)</f>
        <v/>
      </c>
      <c r="D49" s="105"/>
      <c r="E49" s="432" t="str">
        <f>IF(EInfo_RLM[[#This Row],[Network Interfaces]]&lt;&gt;"",
IFERROR(IF(VALUE(RIGHT(EInfo_RLM[[#This Row],[E.Info.DT.RLM-1]]))=1, "E.Info.RLM-1.RLM", "N/A"), ""), "")</f>
        <v/>
      </c>
      <c r="F49" s="55"/>
      <c r="G49" s="120"/>
      <c r="H49" s="389" t="str" cm="1">
        <f t="array" ref="H49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49" s="425"/>
      <c r="J49" s="425"/>
      <c r="K49" s="104"/>
      <c r="L49" s="210"/>
      <c r="M49" s="389" t="str" cm="1">
        <f t="array" ref="M49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49" s="418"/>
      <c r="O49" s="419"/>
      <c r="P49" s="181"/>
    </row>
    <row r="50" spans="1:16" x14ac:dyDescent="0.3">
      <c r="A50" s="413" t="str">
        <f>IFERROR(IF(Interfaces!M48 &lt;&gt; "", Interfaces!M48, ""),"")</f>
        <v/>
      </c>
      <c r="B50" s="414" t="str">
        <f>IF(EInfo_RLM[[#This Row],[Network Interfaces]]&lt;&gt;"", "E.Info.NetworkInterfaces", "")</f>
        <v/>
      </c>
      <c r="C50" s="415" t="str">
        <f>_xlfn.XLOOKUP(EInfo_RLM[[#This Row],[Network Interfaces]], Interfaces[Interface ID
Free text], Interfaces[Description
Free text],"", 0)</f>
        <v/>
      </c>
      <c r="D50" s="105"/>
      <c r="E50" s="432" t="str">
        <f>IF(EInfo_RLM[[#This Row],[Network Interfaces]]&lt;&gt;"",
IFERROR(IF(VALUE(RIGHT(EInfo_RLM[[#This Row],[E.Info.DT.RLM-1]]))=1, "E.Info.RLM-1.RLM", "N/A"), ""), "")</f>
        <v/>
      </c>
      <c r="F50" s="55"/>
      <c r="G50" s="120"/>
      <c r="H50" s="389" t="str" cm="1">
        <f t="array" ref="H50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50" s="425"/>
      <c r="J50" s="425"/>
      <c r="K50" s="104"/>
      <c r="L50" s="210"/>
      <c r="M50" s="389" t="str" cm="1">
        <f t="array" ref="M50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50" s="418"/>
      <c r="O50" s="419"/>
      <c r="P50" s="181"/>
    </row>
    <row r="51" spans="1:16" x14ac:dyDescent="0.3">
      <c r="A51" s="413" t="str">
        <f>IFERROR(IF(Interfaces!M49 &lt;&gt; "", Interfaces!M49, ""),"")</f>
        <v/>
      </c>
      <c r="B51" s="416" t="str">
        <f>IF(EInfo_RLM[[#This Row],[Network Interfaces]]&lt;&gt;"", "E.Info.NetworkInterfaces", "")</f>
        <v/>
      </c>
      <c r="C51" s="417" t="str">
        <f>_xlfn.XLOOKUP(EInfo_RLM[[#This Row],[Network Interfaces]], Interfaces[Interface ID
Free text], Interfaces[Description
Free text],"", 0)</f>
        <v/>
      </c>
      <c r="D51" s="112"/>
      <c r="E51" s="433" t="str">
        <f>IF(EInfo_RLM[[#This Row],[Network Interfaces]]&lt;&gt;"",
IFERROR(IF(VALUE(RIGHT(EInfo_RLM[[#This Row],[E.Info.DT.RLM-1]]))=1, "E.Info.RLM-1.RLM", "N/A"), ""), "")</f>
        <v/>
      </c>
      <c r="F51" s="145"/>
      <c r="G51" s="264"/>
      <c r="H51" s="390" t="str" cm="1">
        <f t="array" ref="H51">IF(AND(EInfo_RLM[[#This Row],[Network Interfaces]]&lt;&gt;"", EInfo_RLM[[#This Row],[E.Info.DT.NMM-1]]&lt;&gt;""),
 IF(EInfo_RLM[[#This Row],[E.Info.DT.NMM-1]]&lt;&gt;"N/A",
     _xlfn.TEXTJOIN(", "&amp;CHAR(10), TRUE, "E.Info.NMM-1.NMM.NetworkEquipment",
     IF(VALUE(RIGHT(EInfo_RLM[[#This Row],[E.Info.DT.NMM-1]]))=2,
     IF(EInfo_RLM[[#This Row],[GTP Filtering]:[IP Packet Filtering]] = "Yes", {"E.Info.NMM-1.NMM.GTPFiltering","E.Info.NMM-1.NMM.IPPacketFiltering"}, ""), "")
     ), "N/A"), "")</f>
        <v/>
      </c>
      <c r="I51" s="427"/>
      <c r="J51" s="427"/>
      <c r="K51" s="134"/>
      <c r="L51" s="263"/>
      <c r="M51" s="390" t="str" cm="1">
        <f t="array" ref="M51">IF(AND(EInfo_RLM[[#This Row],[Network Interfaces]]&lt;&gt;"", EInfo_RLM[[#This Row],[E.Info.DT.TCM-1]]&lt;&gt;""),
 IF(EInfo_RLM[[#This Row],[E.Info.DT.TCM-1]]&lt;&gt;"N/A",
     _xlfn.TEXTJOIN(", "&amp;CHAR(10), TRUE, "E.Info.TCM-1.TCM.NetworkEquipment",
     IF(VALUE(RIGHT(EInfo_RLM[[#This Row],[E.Info.DT.TCM-1]]))=2,
     IF(EInfo_RLM[[#This Row],[Datagram Rules]:[Traffic Separation]] = "Yes", {"E.Info.TCM-1.TCM.DatagramRules","E.Info.TCM-1.TCM.TraficSeparation"}, ""), "")
     ), "N/A"), "")</f>
        <v/>
      </c>
      <c r="N51" s="422"/>
      <c r="O51" s="423"/>
      <c r="P51" s="182"/>
    </row>
  </sheetData>
  <sheetProtection algorithmName="SHA-512" hashValue="02i+JGsjiTepK1uQI9r07JQmdgOXyTmjAcHg2Rb+QGPnOVH/MGAsQ/caDjhdlXDo2TRRTAWEmOe6zX6ziuxVXg==" saltValue="iyTcFzOPiSt+nUHOvM9JYw==" spinCount="100000" sheet="1" objects="1" scenarios="1" formatCells="0" formatColumns="0" formatRows="0" sort="0"/>
  <protectedRanges>
    <protectedRange sqref="L4:L51" name="DT_TCM_1"/>
    <protectedRange sqref="D4:D51" name="DT_RLM_1"/>
    <protectedRange sqref="I4:K51" name="NMM"/>
    <protectedRange sqref="F4:F51" name="RLM"/>
    <protectedRange sqref="N4:P51" name="TCM"/>
    <protectedRange sqref="G4:G51" name="DT_NMM_1"/>
  </protectedRanges>
  <phoneticPr fontId="7" type="noConversion"/>
  <dataValidations count="5">
    <dataValidation type="list" allowBlank="1" showInputMessage="1" showErrorMessage="1" sqref="G24:G51" xr:uid="{3E75F6C8-0E3F-4BA8-9041-EA33F36BDC58}">
      <formula1>"N/A,DT.NMM-2.DN-1,DT.NMM-2.DN-2"</formula1>
    </dataValidation>
    <dataValidation type="list" allowBlank="1" showInputMessage="1" showErrorMessage="1" sqref="D4:D51" xr:uid="{A2C766C6-E4BB-4A10-9160-A791479F1617}">
      <formula1>"N/A,DT.RLM-1.DN-1,DT.RLM-1.DN-2,DT.RLM-1.DN-3"</formula1>
    </dataValidation>
    <dataValidation type="list" allowBlank="1" showInputMessage="1" showErrorMessage="1" sqref="G4:G23" xr:uid="{3977AC5E-3A17-415A-B153-C3833DB6C3F0}">
      <formula1>"N/A,DT.NMM-1.DN-1,DT.NMM-1.DN-2"</formula1>
    </dataValidation>
    <dataValidation type="list" allowBlank="1" showInputMessage="1" showErrorMessage="1" sqref="L4:L51" xr:uid="{606FEE1F-27E8-4A7D-974E-3871D3486FE7}">
      <formula1>"N/A,DT.TCM-1.DN-1,DT.TCM-1.DN-2"</formula1>
    </dataValidation>
    <dataValidation type="list" allowBlank="1" showInputMessage="1" showErrorMessage="1" sqref="I4:J51 N4:O51" xr:uid="{106A5E50-62D2-4339-9B63-931A79AA5394}">
      <formula1>"Yes,No"</formula1>
    </dataValidation>
  </dataValidations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85F73-3CFB-4AD7-BC41-2718FBB00906}">
  <sheetPr>
    <tabColor theme="2"/>
    <pageSetUpPr autoPageBreaks="0"/>
  </sheetPr>
  <dimension ref="A1:M51"/>
  <sheetViews>
    <sheetView zoomScaleNormal="100" workbookViewId="0"/>
  </sheetViews>
  <sheetFormatPr defaultColWidth="16" defaultRowHeight="16.5" x14ac:dyDescent="0.3"/>
  <cols>
    <col min="1" max="1" width="27.75" style="15" customWidth="1"/>
    <col min="2" max="2" width="20.625" style="14" customWidth="1"/>
    <col min="3" max="3" width="42.125" style="14" customWidth="1"/>
    <col min="4" max="4" width="43.75" style="14" customWidth="1"/>
    <col min="5" max="5" width="20.625" style="14" customWidth="1"/>
    <col min="6" max="6" width="42.125" style="14" customWidth="1"/>
    <col min="7" max="7" width="43.75" style="14" customWidth="1"/>
    <col min="8" max="8" width="42.125" style="14" customWidth="1"/>
    <col min="9" max="9" width="43.75" style="14" customWidth="1"/>
    <col min="10" max="10" width="20.625" style="14" customWidth="1"/>
    <col min="11" max="11" width="42.125" style="14" customWidth="1"/>
    <col min="12" max="12" width="43.75" style="14" customWidth="1"/>
    <col min="14" max="16384" width="16" style="14"/>
  </cols>
  <sheetData>
    <row r="1" spans="1:13" s="270" customFormat="1" ht="14.25" x14ac:dyDescent="0.25">
      <c r="A1" s="194" t="s">
        <v>383</v>
      </c>
      <c r="C1" s="196" t="s">
        <v>273</v>
      </c>
      <c r="F1" s="196" t="s">
        <v>64</v>
      </c>
      <c r="H1" s="196" t="s">
        <v>65</v>
      </c>
      <c r="K1" s="196" t="s">
        <v>66</v>
      </c>
    </row>
    <row r="2" spans="1:13" s="13" customFormat="1" ht="18" thickBot="1" x14ac:dyDescent="0.4">
      <c r="A2" s="593" t="s">
        <v>61</v>
      </c>
      <c r="B2" s="118" t="s">
        <v>62</v>
      </c>
      <c r="C2" s="50" t="s">
        <v>240</v>
      </c>
      <c r="D2" s="50" t="s">
        <v>245</v>
      </c>
      <c r="E2" s="118" t="s">
        <v>63</v>
      </c>
      <c r="F2" s="50" t="s">
        <v>242</v>
      </c>
      <c r="G2" s="50" t="s">
        <v>241</v>
      </c>
      <c r="H2" s="50" t="s">
        <v>243</v>
      </c>
      <c r="I2" s="50" t="s">
        <v>244</v>
      </c>
      <c r="J2" s="118" t="s">
        <v>67</v>
      </c>
      <c r="K2" s="50" t="s">
        <v>247</v>
      </c>
      <c r="L2" s="50" t="s">
        <v>246</v>
      </c>
    </row>
    <row r="3" spans="1:13" s="283" customFormat="1" ht="83.25" thickBot="1" x14ac:dyDescent="0.35">
      <c r="A3" s="594" t="s">
        <v>395</v>
      </c>
      <c r="B3" s="436" t="s">
        <v>284</v>
      </c>
      <c r="C3" s="437" t="s">
        <v>396</v>
      </c>
      <c r="D3" s="438" t="s">
        <v>397</v>
      </c>
      <c r="E3" s="439" t="s">
        <v>284</v>
      </c>
      <c r="F3" s="440" t="s">
        <v>398</v>
      </c>
      <c r="G3" s="438" t="s">
        <v>399</v>
      </c>
      <c r="H3" s="441" t="s">
        <v>400</v>
      </c>
      <c r="I3" s="438" t="s">
        <v>401</v>
      </c>
      <c r="J3" s="439" t="s">
        <v>284</v>
      </c>
      <c r="K3" s="440" t="s">
        <v>402</v>
      </c>
      <c r="L3" s="438" t="s">
        <v>403</v>
      </c>
    </row>
    <row r="4" spans="1:13" x14ac:dyDescent="0.3">
      <c r="A4" s="428"/>
      <c r="B4" s="429"/>
      <c r="C4" s="394" t="str">
        <f>IFERROR(IF($A4&lt;&gt;"",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4" s="397"/>
      <c r="E4" s="120"/>
      <c r="F4" s="394" t="str">
        <f>IFERROR(IF($A4&lt;&gt;"",
     IF(EInfo_LGM[[#This Row],[E.Info.DT.LGM-2]]="N/A", "N/A",
      IF(VALUE(RIGHT(EInfo_LGM[[#This Row],[E.Info.DT.LGM-1]]))=2,
         IF(VALUE(RIGHT(EInfo_LGM[[#This Row],[E.Info.DT.LGM-2]]))=1, "E.Info.LGM-2.ExternalStorage", "E.Info.LGM-2.InternalStorage"), "N/A")), ""), "")</f>
        <v/>
      </c>
      <c r="G4" s="397"/>
      <c r="H4" s="394" t="str">
        <f>IFERROR(IF($A4&lt;&gt;"",
   IF(VALUE(RIGHT(EInfo_LGM[[#This Row],[E.Info.DT.LGM-1]]))= 2,
     IF(VALUE(RIGHT(EInfo_LGM[[#This Row],[E.Info.DT.LGM-2]]))=2, "E.Info.LGM-3.Quantity", "N/A"), "N/A"), ""), "")</f>
        <v/>
      </c>
      <c r="I4" s="397"/>
      <c r="J4" s="430"/>
      <c r="K4" s="394" t="str">
        <f>IFERROR(IF($A4&lt;&gt;"",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4" s="397"/>
      <c r="M4" s="14"/>
    </row>
    <row r="5" spans="1:13" x14ac:dyDescent="0.3">
      <c r="A5" s="125"/>
      <c r="B5" s="429"/>
      <c r="C5" s="394" t="str">
        <f>IFERROR(IF($A5&lt;&gt;"",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5" s="397"/>
      <c r="E5" s="120"/>
      <c r="F5" s="394" t="str">
        <f>IFERROR(IF($A5&lt;&gt;"",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5" s="397"/>
      <c r="H5" s="394" t="str">
        <f>IFERROR(IF($A5&lt;&gt;"",
   IF(VALUE(RIGHT(EInfo_LGM[[#This Row],[E.Info.DT.LGM-1]]))= 2,
     IF(VALUE(RIGHT(EInfo_LGM[[#This Row],[E.Info.DT.LGM-2]]))=2, "E.Info.LGM-3.Quantity", "N/A"), "N/A"), ""), "")</f>
        <v/>
      </c>
      <c r="I5" s="397"/>
      <c r="J5" s="430"/>
      <c r="K5" s="394" t="str">
        <f>IFERROR(IF($A5&lt;&gt;"",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5" s="397"/>
      <c r="M5" s="14"/>
    </row>
    <row r="6" spans="1:13" x14ac:dyDescent="0.3">
      <c r="A6" s="125"/>
      <c r="B6" s="429"/>
      <c r="C6" s="394" t="str">
        <f>IFERROR(IF($A6&lt;&gt;"",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6" s="397"/>
      <c r="E6" s="120"/>
      <c r="F6" s="394" t="str">
        <f>IFERROR(IF($A6&lt;&gt;"",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6" s="397"/>
      <c r="H6" s="394" t="str">
        <f>IFERROR(IF($A6&lt;&gt;"",
   IF(VALUE(RIGHT(EInfo_LGM[[#This Row],[E.Info.DT.LGM-1]]))= 2,
     IF(VALUE(RIGHT(EInfo_LGM[[#This Row],[E.Info.DT.LGM-2]]))=2, "E.Info.LGM-3.Quantity", "N/A"), "N/A"), ""), "")</f>
        <v/>
      </c>
      <c r="I6" s="397"/>
      <c r="J6" s="430"/>
      <c r="K6" s="394" t="str">
        <f>IFERROR(IF($A6&lt;&gt;"",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6" s="397"/>
      <c r="M6" s="14"/>
    </row>
    <row r="7" spans="1:13" x14ac:dyDescent="0.3">
      <c r="A7" s="125"/>
      <c r="B7" s="429"/>
      <c r="C7" s="394" t="str">
        <f>IFERROR(IF($A7&lt;&gt;"",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7" s="397"/>
      <c r="E7" s="120"/>
      <c r="F7" s="394" t="str">
        <f>IFERROR(IF($A7&lt;&gt;"",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7" s="397"/>
      <c r="H7" s="394" t="str">
        <f>IFERROR(IF($A7&lt;&gt;"",
   IF(VALUE(RIGHT(EInfo_LGM[[#This Row],[E.Info.DT.LGM-1]]))= 2,
     IF(VALUE(RIGHT(EInfo_LGM[[#This Row],[E.Info.DT.LGM-2]]))=2, "E.Info.LGM-3.Quantity", "N/A"), "N/A"), ""), "")</f>
        <v/>
      </c>
      <c r="I7" s="397"/>
      <c r="J7" s="430"/>
      <c r="K7" s="394" t="str">
        <f>IFERROR(IF($A7&lt;&gt;"",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7" s="397"/>
      <c r="M7" s="14"/>
    </row>
    <row r="8" spans="1:13" x14ac:dyDescent="0.3">
      <c r="A8" s="125"/>
      <c r="B8" s="429"/>
      <c r="C8" s="394" t="str">
        <f>IFERROR(IF($A8&lt;&gt;"",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8" s="397"/>
      <c r="E8" s="120"/>
      <c r="F8" s="394" t="str">
        <f>IFERROR(IF($A8&lt;&gt;"",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8" s="397"/>
      <c r="H8" s="394" t="str">
        <f>IFERROR(IF($A8&lt;&gt;"",
   IF(VALUE(RIGHT(EInfo_LGM[[#This Row],[E.Info.DT.LGM-1]]))= 2,
     IF(VALUE(RIGHT(EInfo_LGM[[#This Row],[E.Info.DT.LGM-2]]))=2, "E.Info.LGM-3.Quantity", "N/A"), "N/A"), ""), "")</f>
        <v/>
      </c>
      <c r="I8" s="397"/>
      <c r="J8" s="430"/>
      <c r="K8" s="394" t="str">
        <f>IFERROR(IF($A8&lt;&gt;"",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8" s="397"/>
      <c r="M8" s="14"/>
    </row>
    <row r="9" spans="1:13" x14ac:dyDescent="0.3">
      <c r="A9" s="125"/>
      <c r="B9" s="429"/>
      <c r="C9" s="394" t="str">
        <f>IFERROR(IF($A9&lt;&gt;"",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9" s="397"/>
      <c r="E9" s="120"/>
      <c r="F9" s="394" t="str">
        <f>IFERROR(IF($A9&lt;&gt;"",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9" s="397"/>
      <c r="H9" s="394" t="str">
        <f>IFERROR(IF($A9&lt;&gt;"",
   IF(VALUE(RIGHT(EInfo_LGM[[#This Row],[E.Info.DT.LGM-1]]))= 2,
     IF(VALUE(RIGHT(EInfo_LGM[[#This Row],[E.Info.DT.LGM-2]]))=2, "E.Info.LGM-3.Quantity", "N/A"), "N/A"), ""), "")</f>
        <v/>
      </c>
      <c r="I9" s="397"/>
      <c r="J9" s="430"/>
      <c r="K9" s="394" t="str">
        <f>IFERROR(IF($A9&lt;&gt;"",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9" s="397"/>
      <c r="M9" s="14"/>
    </row>
    <row r="10" spans="1:13" x14ac:dyDescent="0.3">
      <c r="A10" s="125"/>
      <c r="B10" s="429"/>
      <c r="C10" s="394" t="str">
        <f>IFERROR(IF($A10&lt;&gt;"",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10" s="397"/>
      <c r="E10" s="120"/>
      <c r="F10" s="394" t="str">
        <f>IFERROR(IF($A10&lt;&gt;"",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10" s="397"/>
      <c r="H10" s="394" t="str">
        <f>IFERROR(IF($A10&lt;&gt;"",
   IF(VALUE(RIGHT(EInfo_LGM[[#This Row],[E.Info.DT.LGM-1]]))= 2,
     IF(VALUE(RIGHT(EInfo_LGM[[#This Row],[E.Info.DT.LGM-2]]))=2, "E.Info.LGM-3.Quantity", "N/A"), "N/A"), ""), "")</f>
        <v/>
      </c>
      <c r="I10" s="397"/>
      <c r="J10" s="430"/>
      <c r="K10" s="394" t="str">
        <f>IFERROR(IF($A10&lt;&gt;"",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10" s="397"/>
      <c r="M10" s="14"/>
    </row>
    <row r="11" spans="1:13" x14ac:dyDescent="0.3">
      <c r="A11" s="125"/>
      <c r="B11" s="429"/>
      <c r="C11" s="394" t="str">
        <f>IFERROR(IF($A11&lt;&gt;"",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11" s="397"/>
      <c r="E11" s="120"/>
      <c r="F11" s="394" t="str">
        <f>IFERROR(IF($A11&lt;&gt;"",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11" s="397"/>
      <c r="H11" s="394" t="str">
        <f>IFERROR(IF($A11&lt;&gt;"",
   IF(VALUE(RIGHT(EInfo_LGM[[#This Row],[E.Info.DT.LGM-1]]))= 2,
     IF(VALUE(RIGHT(EInfo_LGM[[#This Row],[E.Info.DT.LGM-2]]))=2, "E.Info.LGM-3.Quantity", "N/A"), "N/A"), ""), "")</f>
        <v/>
      </c>
      <c r="I11" s="397"/>
      <c r="J11" s="430"/>
      <c r="K11" s="394" t="str">
        <f>IFERROR(IF($A11&lt;&gt;"",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11" s="397"/>
      <c r="M11" s="14"/>
    </row>
    <row r="12" spans="1:13" x14ac:dyDescent="0.3">
      <c r="A12" s="125"/>
      <c r="B12" s="429"/>
      <c r="C12" s="394" t="str">
        <f>IFERROR(IF($A12&lt;&gt;"",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12" s="397"/>
      <c r="E12" s="120"/>
      <c r="F12" s="394" t="str">
        <f>IFERROR(IF($A12&lt;&gt;"",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12" s="397"/>
      <c r="H12" s="394" t="str">
        <f>IFERROR(IF($A12&lt;&gt;"",
   IF(VALUE(RIGHT(EInfo_LGM[[#This Row],[E.Info.DT.LGM-1]]))= 2,
     IF(VALUE(RIGHT(EInfo_LGM[[#This Row],[E.Info.DT.LGM-2]]))=2, "E.Info.LGM-3.Quantity", "N/A"), "N/A"), ""), "")</f>
        <v/>
      </c>
      <c r="I12" s="397"/>
      <c r="J12" s="430"/>
      <c r="K12" s="394" t="str">
        <f>IFERROR(IF($A12&lt;&gt;"",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12" s="397"/>
      <c r="M12" s="14"/>
    </row>
    <row r="13" spans="1:13" x14ac:dyDescent="0.3">
      <c r="A13" s="125"/>
      <c r="B13" s="429"/>
      <c r="C13" s="394" t="str">
        <f>IFERROR(IF($A13&lt;&gt;"",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13" s="397"/>
      <c r="E13" s="120"/>
      <c r="F13" s="394" t="str">
        <f>IFERROR(IF($A13&lt;&gt;"",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13" s="397"/>
      <c r="H13" s="394" t="str">
        <f>IFERROR(IF($A13&lt;&gt;"",
   IF(VALUE(RIGHT(EInfo_LGM[[#This Row],[E.Info.DT.LGM-1]]))= 2,
     IF(VALUE(RIGHT(EInfo_LGM[[#This Row],[E.Info.DT.LGM-2]]))=2, "E.Info.LGM-3.Quantity", "N/A"), "N/A"), ""), "")</f>
        <v/>
      </c>
      <c r="I13" s="397"/>
      <c r="J13" s="430"/>
      <c r="K13" s="394" t="str">
        <f>IFERROR(IF($A13&lt;&gt;"",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13" s="397"/>
      <c r="M13" s="14"/>
    </row>
    <row r="14" spans="1:13" x14ac:dyDescent="0.3">
      <c r="A14" s="125"/>
      <c r="B14" s="429"/>
      <c r="C14" s="394" t="str">
        <f>IFERROR(IF($A14&lt;&gt;"",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14" s="397"/>
      <c r="E14" s="120"/>
      <c r="F14" s="394" t="str">
        <f>IFERROR(IF($A14&lt;&gt;"",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14" s="397"/>
      <c r="H14" s="394" t="str">
        <f>IFERROR(IF($A14&lt;&gt;"",
   IF(VALUE(RIGHT(EInfo_LGM[[#This Row],[E.Info.DT.LGM-1]]))= 2,
     IF(VALUE(RIGHT(EInfo_LGM[[#This Row],[E.Info.DT.LGM-2]]))=2, "E.Info.LGM-3.Quantity", "N/A"), "N/A"), ""), "")</f>
        <v/>
      </c>
      <c r="I14" s="397"/>
      <c r="J14" s="430"/>
      <c r="K14" s="394" t="str">
        <f>IFERROR(IF($A14&lt;&gt;"",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14" s="397"/>
      <c r="M14" s="14"/>
    </row>
    <row r="15" spans="1:13" x14ac:dyDescent="0.3">
      <c r="A15" s="125"/>
      <c r="B15" s="429"/>
      <c r="C15" s="394" t="str">
        <f>IFERROR(IF($A15&lt;&gt;"",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15" s="397"/>
      <c r="E15" s="120"/>
      <c r="F15" s="394" t="str">
        <f>IFERROR(IF($A15&lt;&gt;"",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15" s="397"/>
      <c r="H15" s="394" t="str">
        <f>IFERROR(IF($A15&lt;&gt;"",
   IF(VALUE(RIGHT(EInfo_LGM[[#This Row],[E.Info.DT.LGM-1]]))= 2,
     IF(VALUE(RIGHT(EInfo_LGM[[#This Row],[E.Info.DT.LGM-2]]))=2, "E.Info.LGM-3.Quantity", "N/A"), "N/A"), ""), "")</f>
        <v/>
      </c>
      <c r="I15" s="397"/>
      <c r="J15" s="430"/>
      <c r="K15" s="394" t="str">
        <f>IFERROR(IF($A15&lt;&gt;"",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15" s="397"/>
      <c r="M15" s="14"/>
    </row>
    <row r="16" spans="1:13" x14ac:dyDescent="0.3">
      <c r="A16" s="125"/>
      <c r="B16" s="429"/>
      <c r="C16" s="394" t="str">
        <f>IFERROR(IF($A16&lt;&gt;"",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16" s="397"/>
      <c r="E16" s="120"/>
      <c r="F16" s="394" t="str">
        <f>IFERROR(IF($A16&lt;&gt;"",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16" s="397"/>
      <c r="H16" s="394" t="str">
        <f>IFERROR(IF($A16&lt;&gt;"",
   IF(VALUE(RIGHT(EInfo_LGM[[#This Row],[E.Info.DT.LGM-1]]))= 2,
     IF(VALUE(RIGHT(EInfo_LGM[[#This Row],[E.Info.DT.LGM-2]]))=2, "E.Info.LGM-3.Quantity", "N/A"), "N/A"), ""), "")</f>
        <v/>
      </c>
      <c r="I16" s="397"/>
      <c r="J16" s="430"/>
      <c r="K16" s="394" t="str">
        <f>IFERROR(IF($A16&lt;&gt;"",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16" s="397"/>
      <c r="M16" s="14"/>
    </row>
    <row r="17" spans="1:13" x14ac:dyDescent="0.3">
      <c r="A17" s="125"/>
      <c r="B17" s="429"/>
      <c r="C17" s="394" t="str">
        <f>IFERROR(IF($A17&lt;&gt;"",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17" s="397"/>
      <c r="E17" s="120"/>
      <c r="F17" s="394" t="str">
        <f>IFERROR(IF($A17&lt;&gt;"",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17" s="397"/>
      <c r="H17" s="394" t="str">
        <f>IFERROR(IF($A17&lt;&gt;"",
   IF(VALUE(RIGHT(EInfo_LGM[[#This Row],[E.Info.DT.LGM-1]]))= 2,
     IF(VALUE(RIGHT(EInfo_LGM[[#This Row],[E.Info.DT.LGM-2]]))=2, "E.Info.LGM-3.Quantity", "N/A"), "N/A"), ""), "")</f>
        <v/>
      </c>
      <c r="I17" s="397"/>
      <c r="J17" s="430"/>
      <c r="K17" s="394" t="str">
        <f>IFERROR(IF($A17&lt;&gt;"",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17" s="397"/>
      <c r="M17" s="14"/>
    </row>
    <row r="18" spans="1:13" x14ac:dyDescent="0.3">
      <c r="A18" s="125"/>
      <c r="B18" s="429"/>
      <c r="C18" s="394" t="str">
        <f>IFERROR(IF($A18&lt;&gt;"",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18" s="397"/>
      <c r="E18" s="120"/>
      <c r="F18" s="394" t="str">
        <f>IFERROR(IF($A18&lt;&gt;"",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18" s="397"/>
      <c r="H18" s="394" t="str">
        <f>IFERROR(IF($A18&lt;&gt;"",
   IF(VALUE(RIGHT(EInfo_LGM[[#This Row],[E.Info.DT.LGM-1]]))= 2,
     IF(VALUE(RIGHT(EInfo_LGM[[#This Row],[E.Info.DT.LGM-2]]))=2, "E.Info.LGM-3.Quantity", "N/A"), "N/A"), ""), "")</f>
        <v/>
      </c>
      <c r="I18" s="397"/>
      <c r="J18" s="430"/>
      <c r="K18" s="394" t="str">
        <f>IFERROR(IF($A18&lt;&gt;"",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18" s="397"/>
      <c r="M18" s="14"/>
    </row>
    <row r="19" spans="1:13" x14ac:dyDescent="0.3">
      <c r="A19" s="125"/>
      <c r="B19" s="429"/>
      <c r="C19" s="394" t="str">
        <f>IFERROR(IF($A19&lt;&gt;"",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19" s="397"/>
      <c r="E19" s="120"/>
      <c r="F19" s="394" t="str">
        <f>IFERROR(IF($A19&lt;&gt;"",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19" s="397"/>
      <c r="H19" s="394" t="str">
        <f>IFERROR(IF($A19&lt;&gt;"",
   IF(VALUE(RIGHT(EInfo_LGM[[#This Row],[E.Info.DT.LGM-1]]))= 2,
     IF(VALUE(RIGHT(EInfo_LGM[[#This Row],[E.Info.DT.LGM-2]]))=2, "E.Info.LGM-3.Quantity", "N/A"), "N/A"), ""), "")</f>
        <v/>
      </c>
      <c r="I19" s="397"/>
      <c r="J19" s="430"/>
      <c r="K19" s="394" t="str">
        <f>IFERROR(IF($A19&lt;&gt;"",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19" s="397"/>
      <c r="M19" s="14"/>
    </row>
    <row r="20" spans="1:13" x14ac:dyDescent="0.3">
      <c r="A20" s="125"/>
      <c r="B20" s="429"/>
      <c r="C20" s="394" t="str">
        <f>IFERROR(IF($A20&lt;&gt;"",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20" s="397"/>
      <c r="E20" s="120"/>
      <c r="F20" s="394" t="str">
        <f>IFERROR(IF($A20&lt;&gt;"",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20" s="397"/>
      <c r="H20" s="394" t="str">
        <f>IFERROR(IF($A20&lt;&gt;"",
   IF(VALUE(RIGHT(EInfo_LGM[[#This Row],[E.Info.DT.LGM-1]]))= 2,
     IF(VALUE(RIGHT(EInfo_LGM[[#This Row],[E.Info.DT.LGM-2]]))=2, "E.Info.LGM-3.Quantity", "N/A"), "N/A"), ""), "")</f>
        <v/>
      </c>
      <c r="I20" s="397"/>
      <c r="J20" s="430"/>
      <c r="K20" s="394" t="str">
        <f>IFERROR(IF($A20&lt;&gt;"",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20" s="397"/>
      <c r="M20" s="14"/>
    </row>
    <row r="21" spans="1:13" x14ac:dyDescent="0.3">
      <c r="A21" s="125"/>
      <c r="B21" s="429"/>
      <c r="C21" s="394" t="str">
        <f>IFERROR(IF($A21&lt;&gt;"",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21" s="397"/>
      <c r="E21" s="120"/>
      <c r="F21" s="394" t="str">
        <f>IFERROR(IF($A21&lt;&gt;"",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21" s="397"/>
      <c r="H21" s="394" t="str">
        <f>IFERROR(IF($A21&lt;&gt;"",
   IF(VALUE(RIGHT(EInfo_LGM[[#This Row],[E.Info.DT.LGM-1]]))= 2,
     IF(VALUE(RIGHT(EInfo_LGM[[#This Row],[E.Info.DT.LGM-2]]))=2, "E.Info.LGM-3.Quantity", "N/A"), "N/A"), ""), "")</f>
        <v/>
      </c>
      <c r="I21" s="397"/>
      <c r="J21" s="430"/>
      <c r="K21" s="394" t="str">
        <f>IFERROR(IF($A21&lt;&gt;"",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21" s="397"/>
      <c r="M21" s="14"/>
    </row>
    <row r="22" spans="1:13" x14ac:dyDescent="0.3">
      <c r="A22" s="125"/>
      <c r="B22" s="430"/>
      <c r="C22" s="394" t="str">
        <f>IFERROR(IF($A22&lt;&gt;"",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22" s="397"/>
      <c r="E22" s="120"/>
      <c r="F22" s="394" t="str">
        <f>IFERROR(IF($A22&lt;&gt;"",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22" s="397"/>
      <c r="H22" s="394" t="str">
        <f>IFERROR(IF($A22&lt;&gt;"",
   IF(VALUE(RIGHT(EInfo_LGM[[#This Row],[E.Info.DT.LGM-1]]))= 2,
     IF(VALUE(RIGHT(EInfo_LGM[[#This Row],[E.Info.DT.LGM-2]]))=2, "E.Info.LGM-3.Quantity", "N/A"), "N/A"), ""), "")</f>
        <v/>
      </c>
      <c r="I22" s="397"/>
      <c r="J22" s="430"/>
      <c r="K22" s="394" t="str">
        <f>IFERROR(IF($A22&lt;&gt;"",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22" s="397"/>
      <c r="M22" s="14"/>
    </row>
    <row r="23" spans="1:13" x14ac:dyDescent="0.3">
      <c r="A23" s="125"/>
      <c r="B23" s="430"/>
      <c r="C23" s="394" t="str">
        <f>IFERROR(IF($A23&lt;&gt;"",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23" s="397"/>
      <c r="E23" s="120"/>
      <c r="F23" s="394" t="str">
        <f>IFERROR(IF($A23&lt;&gt;"",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23" s="397"/>
      <c r="H23" s="394" t="str">
        <f>IFERROR(IF($A23&lt;&gt;"",
   IF(VALUE(RIGHT(EInfo_LGM[[#This Row],[E.Info.DT.LGM-1]]))= 2,
     IF(VALUE(RIGHT(EInfo_LGM[[#This Row],[E.Info.DT.LGM-2]]))=2, "E.Info.LGM-3.Quantity", "N/A"), "N/A"), ""), "")</f>
        <v/>
      </c>
      <c r="I23" s="397"/>
      <c r="J23" s="430"/>
      <c r="K23" s="394" t="str">
        <f>IFERROR(IF($A23&lt;&gt;"",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23" s="397"/>
      <c r="M23" s="14"/>
    </row>
    <row r="24" spans="1:13" x14ac:dyDescent="0.3">
      <c r="A24" s="125"/>
      <c r="B24" s="430"/>
      <c r="C24" s="394" t="str">
        <f>IFERROR(IF($A24&lt;&gt;"",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24" s="397"/>
      <c r="E24" s="120"/>
      <c r="F24" s="394" t="str">
        <f>IFERROR(IF($A24&lt;&gt;"",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24" s="397"/>
      <c r="H24" s="394" t="str">
        <f>IFERROR(IF($A24&lt;&gt;"",
   IF(VALUE(RIGHT(EInfo_LGM[[#This Row],[E.Info.DT.LGM-1]]))= 2,
     IF(VALUE(RIGHT(EInfo_LGM[[#This Row],[E.Info.DT.LGM-2]]))=2, "E.Info.LGM-3.Quantity", "N/A"), "N/A"), ""), "")</f>
        <v/>
      </c>
      <c r="I24" s="397"/>
      <c r="J24" s="430"/>
      <c r="K24" s="394" t="str">
        <f>IFERROR(IF($A24&lt;&gt;"",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24" s="397"/>
      <c r="M24" s="14"/>
    </row>
    <row r="25" spans="1:13" x14ac:dyDescent="0.3">
      <c r="A25" s="125"/>
      <c r="B25" s="430"/>
      <c r="C25" s="394" t="str">
        <f>IFERROR(IF($A25&lt;&gt;"",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25" s="397"/>
      <c r="E25" s="120"/>
      <c r="F25" s="394" t="str">
        <f>IFERROR(IF($A25&lt;&gt;"",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25" s="397"/>
      <c r="H25" s="394" t="str">
        <f>IFERROR(IF($A25&lt;&gt;"",
   IF(VALUE(RIGHT(EInfo_LGM[[#This Row],[E.Info.DT.LGM-1]]))= 2,
     IF(VALUE(RIGHT(EInfo_LGM[[#This Row],[E.Info.DT.LGM-2]]))=2, "E.Info.LGM-3.Quantity", "N/A"), "N/A"), ""), "")</f>
        <v/>
      </c>
      <c r="I25" s="397"/>
      <c r="J25" s="430"/>
      <c r="K25" s="394" t="str">
        <f>IFERROR(IF($A25&lt;&gt;"",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25" s="397"/>
      <c r="M25" s="14"/>
    </row>
    <row r="26" spans="1:13" x14ac:dyDescent="0.3">
      <c r="A26" s="125"/>
      <c r="B26" s="430"/>
      <c r="C26" s="394" t="str">
        <f>IFERROR(IF($A26&lt;&gt;"",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26" s="397"/>
      <c r="E26" s="120"/>
      <c r="F26" s="394" t="str">
        <f>IFERROR(IF($A26&lt;&gt;"",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26" s="397"/>
      <c r="H26" s="394" t="str">
        <f>IFERROR(IF($A26&lt;&gt;"",
   IF(VALUE(RIGHT(EInfo_LGM[[#This Row],[E.Info.DT.LGM-1]]))= 2,
     IF(VALUE(RIGHT(EInfo_LGM[[#This Row],[E.Info.DT.LGM-2]]))=2, "E.Info.LGM-3.Quantity", "N/A"), "N/A"), ""), "")</f>
        <v/>
      </c>
      <c r="I26" s="397"/>
      <c r="J26" s="430"/>
      <c r="K26" s="394" t="str">
        <f>IFERROR(IF($A26&lt;&gt;"",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26" s="397"/>
      <c r="M26" s="14"/>
    </row>
    <row r="27" spans="1:13" x14ac:dyDescent="0.3">
      <c r="A27" s="125"/>
      <c r="B27" s="430"/>
      <c r="C27" s="394" t="str">
        <f>IFERROR(IF($A27&lt;&gt;"",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27" s="397"/>
      <c r="E27" s="120"/>
      <c r="F27" s="394" t="str">
        <f>IFERROR(IF($A27&lt;&gt;"",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27" s="397"/>
      <c r="H27" s="394" t="str">
        <f>IFERROR(IF($A27&lt;&gt;"",
   IF(VALUE(RIGHT(EInfo_LGM[[#This Row],[E.Info.DT.LGM-1]]))= 2,
     IF(VALUE(RIGHT(EInfo_LGM[[#This Row],[E.Info.DT.LGM-2]]))=2, "E.Info.LGM-3.Quantity", "N/A"), "N/A"), ""), "")</f>
        <v/>
      </c>
      <c r="I27" s="397"/>
      <c r="J27" s="430"/>
      <c r="K27" s="394" t="str">
        <f>IFERROR(IF($A27&lt;&gt;"",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27" s="397"/>
      <c r="M27" s="14"/>
    </row>
    <row r="28" spans="1:13" x14ac:dyDescent="0.3">
      <c r="A28" s="125"/>
      <c r="B28" s="430"/>
      <c r="C28" s="394" t="str">
        <f>IFERROR(IF($A28&lt;&gt;"",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28" s="397"/>
      <c r="E28" s="120"/>
      <c r="F28" s="394" t="str">
        <f>IFERROR(IF($A28&lt;&gt;"",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28" s="397"/>
      <c r="H28" s="394" t="str">
        <f>IFERROR(IF($A28&lt;&gt;"",
   IF(VALUE(RIGHT(EInfo_LGM[[#This Row],[E.Info.DT.LGM-1]]))= 2,
     IF(VALUE(RIGHT(EInfo_LGM[[#This Row],[E.Info.DT.LGM-2]]))=2, "E.Info.LGM-3.Quantity", "N/A"), "N/A"), ""), "")</f>
        <v/>
      </c>
      <c r="I28" s="397"/>
      <c r="J28" s="430"/>
      <c r="K28" s="394" t="str">
        <f>IFERROR(IF($A28&lt;&gt;"",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28" s="397"/>
      <c r="M28" s="14"/>
    </row>
    <row r="29" spans="1:13" x14ac:dyDescent="0.3">
      <c r="A29" s="125"/>
      <c r="B29" s="430"/>
      <c r="C29" s="394" t="str">
        <f>IFERROR(IF($A29&lt;&gt;"",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29" s="397"/>
      <c r="E29" s="120"/>
      <c r="F29" s="394" t="str">
        <f>IFERROR(IF($A29&lt;&gt;"",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29" s="397"/>
      <c r="H29" s="394" t="str">
        <f>IFERROR(IF($A29&lt;&gt;"",
   IF(VALUE(RIGHT(EInfo_LGM[[#This Row],[E.Info.DT.LGM-1]]))= 2,
     IF(VALUE(RIGHT(EInfo_LGM[[#This Row],[E.Info.DT.LGM-2]]))=2, "E.Info.LGM-3.Quantity", "N/A"), "N/A"), ""), "")</f>
        <v/>
      </c>
      <c r="I29" s="397"/>
      <c r="J29" s="430"/>
      <c r="K29" s="394" t="str">
        <f>IFERROR(IF($A29&lt;&gt;"",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29" s="397"/>
      <c r="M29" s="14"/>
    </row>
    <row r="30" spans="1:13" x14ac:dyDescent="0.3">
      <c r="A30" s="125"/>
      <c r="B30" s="430"/>
      <c r="C30" s="394" t="str">
        <f>IFERROR(IF($A30&lt;&gt;"",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30" s="397"/>
      <c r="E30" s="120"/>
      <c r="F30" s="394" t="str">
        <f>IFERROR(IF($A30&lt;&gt;"",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30" s="397"/>
      <c r="H30" s="394" t="str">
        <f>IFERROR(IF($A30&lt;&gt;"",
   IF(VALUE(RIGHT(EInfo_LGM[[#This Row],[E.Info.DT.LGM-1]]))= 2,
     IF(VALUE(RIGHT(EInfo_LGM[[#This Row],[E.Info.DT.LGM-2]]))=2, "E.Info.LGM-3.Quantity", "N/A"), "N/A"), ""), "")</f>
        <v/>
      </c>
      <c r="I30" s="397"/>
      <c r="J30" s="430"/>
      <c r="K30" s="394" t="str">
        <f>IFERROR(IF($A30&lt;&gt;"",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30" s="397"/>
      <c r="M30" s="14"/>
    </row>
    <row r="31" spans="1:13" x14ac:dyDescent="0.3">
      <c r="A31" s="125"/>
      <c r="B31" s="430"/>
      <c r="C31" s="394" t="str">
        <f>IFERROR(IF($A31&lt;&gt;"",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31" s="397"/>
      <c r="E31" s="120"/>
      <c r="F31" s="394" t="str">
        <f>IFERROR(IF($A31&lt;&gt;"",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31" s="397"/>
      <c r="H31" s="394" t="str">
        <f>IFERROR(IF($A31&lt;&gt;"",
   IF(VALUE(RIGHT(EInfo_LGM[[#This Row],[E.Info.DT.LGM-1]]))= 2,
     IF(VALUE(RIGHT(EInfo_LGM[[#This Row],[E.Info.DT.LGM-2]]))=2, "E.Info.LGM-3.Quantity", "N/A"), "N/A"), ""), "")</f>
        <v/>
      </c>
      <c r="I31" s="397"/>
      <c r="J31" s="430"/>
      <c r="K31" s="394" t="str">
        <f>IFERROR(IF($A31&lt;&gt;"",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31" s="397"/>
      <c r="M31" s="14"/>
    </row>
    <row r="32" spans="1:13" x14ac:dyDescent="0.3">
      <c r="A32" s="125"/>
      <c r="B32" s="430"/>
      <c r="C32" s="394" t="str">
        <f>IFERROR(IF($A32&lt;&gt;"",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32" s="397"/>
      <c r="E32" s="120"/>
      <c r="F32" s="394" t="str">
        <f>IFERROR(IF($A32&lt;&gt;"",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32" s="397"/>
      <c r="H32" s="394" t="str">
        <f>IFERROR(IF($A32&lt;&gt;"",
   IF(VALUE(RIGHT(EInfo_LGM[[#This Row],[E.Info.DT.LGM-1]]))= 2,
     IF(VALUE(RIGHT(EInfo_LGM[[#This Row],[E.Info.DT.LGM-2]]))=2, "E.Info.LGM-3.Quantity", "N/A"), "N/A"), ""), "")</f>
        <v/>
      </c>
      <c r="I32" s="397"/>
      <c r="J32" s="430"/>
      <c r="K32" s="394" t="str">
        <f>IFERROR(IF($A32&lt;&gt;"",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32" s="397"/>
      <c r="M32" s="14"/>
    </row>
    <row r="33" spans="1:13" x14ac:dyDescent="0.3">
      <c r="A33" s="125"/>
      <c r="B33" s="430"/>
      <c r="C33" s="394" t="str">
        <f>IFERROR(IF($A33&lt;&gt;"",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33" s="397"/>
      <c r="E33" s="120"/>
      <c r="F33" s="394" t="str">
        <f>IFERROR(IF($A33&lt;&gt;"",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33" s="397"/>
      <c r="H33" s="394" t="str">
        <f>IFERROR(IF($A33&lt;&gt;"",
   IF(VALUE(RIGHT(EInfo_LGM[[#This Row],[E.Info.DT.LGM-1]]))= 2,
     IF(VALUE(RIGHT(EInfo_LGM[[#This Row],[E.Info.DT.LGM-2]]))=2, "E.Info.LGM-3.Quantity", "N/A"), "N/A"), ""), "")</f>
        <v/>
      </c>
      <c r="I33" s="397"/>
      <c r="J33" s="430"/>
      <c r="K33" s="394" t="str">
        <f>IFERROR(IF($A33&lt;&gt;"",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33" s="397"/>
      <c r="M33" s="14"/>
    </row>
    <row r="34" spans="1:13" x14ac:dyDescent="0.3">
      <c r="A34" s="125"/>
      <c r="B34" s="430"/>
      <c r="C34" s="394" t="str">
        <f>IFERROR(IF($A34&lt;&gt;"",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34" s="397"/>
      <c r="E34" s="120"/>
      <c r="F34" s="394" t="str">
        <f>IFERROR(IF($A34&lt;&gt;"",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34" s="397"/>
      <c r="H34" s="394" t="str">
        <f>IFERROR(IF($A34&lt;&gt;"",
   IF(VALUE(RIGHT(EInfo_LGM[[#This Row],[E.Info.DT.LGM-1]]))= 2,
     IF(VALUE(RIGHT(EInfo_LGM[[#This Row],[E.Info.DT.LGM-2]]))=2, "E.Info.LGM-3.Quantity", "N/A"), "N/A"), ""), "")</f>
        <v/>
      </c>
      <c r="I34" s="397"/>
      <c r="J34" s="430"/>
      <c r="K34" s="394" t="str">
        <f>IFERROR(IF($A34&lt;&gt;"",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34" s="397"/>
      <c r="M34" s="14"/>
    </row>
    <row r="35" spans="1:13" x14ac:dyDescent="0.3">
      <c r="A35" s="125"/>
      <c r="B35" s="430"/>
      <c r="C35" s="394" t="str">
        <f>IFERROR(IF($A35&lt;&gt;"",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35" s="397"/>
      <c r="E35" s="120"/>
      <c r="F35" s="394" t="str">
        <f>IFERROR(IF($A35&lt;&gt;"",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35" s="397"/>
      <c r="H35" s="394" t="str">
        <f>IFERROR(IF($A35&lt;&gt;"",
   IF(VALUE(RIGHT(EInfo_LGM[[#This Row],[E.Info.DT.LGM-1]]))= 2,
     IF(VALUE(RIGHT(EInfo_LGM[[#This Row],[E.Info.DT.LGM-2]]))=2, "E.Info.LGM-3.Quantity", "N/A"), "N/A"), ""), "")</f>
        <v/>
      </c>
      <c r="I35" s="397"/>
      <c r="J35" s="430"/>
      <c r="K35" s="394" t="str">
        <f>IFERROR(IF($A35&lt;&gt;"",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35" s="397"/>
      <c r="M35" s="14"/>
    </row>
    <row r="36" spans="1:13" x14ac:dyDescent="0.3">
      <c r="A36" s="125"/>
      <c r="B36" s="430"/>
      <c r="C36" s="394" t="str">
        <f>IFERROR(IF($A36&lt;&gt;"",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36" s="397"/>
      <c r="E36" s="120"/>
      <c r="F36" s="394" t="str">
        <f>IFERROR(IF($A36&lt;&gt;"",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36" s="397"/>
      <c r="H36" s="394" t="str">
        <f>IFERROR(IF($A36&lt;&gt;"",
   IF(VALUE(RIGHT(EInfo_LGM[[#This Row],[E.Info.DT.LGM-1]]))= 2,
     IF(VALUE(RIGHT(EInfo_LGM[[#This Row],[E.Info.DT.LGM-2]]))=2, "E.Info.LGM-3.Quantity", "N/A"), "N/A"), ""), "")</f>
        <v/>
      </c>
      <c r="I36" s="397"/>
      <c r="J36" s="430"/>
      <c r="K36" s="394" t="str">
        <f>IFERROR(IF($A36&lt;&gt;"",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36" s="397"/>
      <c r="M36" s="14"/>
    </row>
    <row r="37" spans="1:13" x14ac:dyDescent="0.3">
      <c r="A37" s="125"/>
      <c r="B37" s="430"/>
      <c r="C37" s="394" t="str">
        <f>IFERROR(IF($A37&lt;&gt;"",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37" s="397"/>
      <c r="E37" s="120"/>
      <c r="F37" s="394" t="str">
        <f>IFERROR(IF($A37&lt;&gt;"",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37" s="397"/>
      <c r="H37" s="394" t="str">
        <f>IFERROR(IF($A37&lt;&gt;"",
   IF(VALUE(RIGHT(EInfo_LGM[[#This Row],[E.Info.DT.LGM-1]]))= 2,
     IF(VALUE(RIGHT(EInfo_LGM[[#This Row],[E.Info.DT.LGM-2]]))=2, "E.Info.LGM-3.Quantity", "N/A"), "N/A"), ""), "")</f>
        <v/>
      </c>
      <c r="I37" s="397"/>
      <c r="J37" s="430"/>
      <c r="K37" s="394" t="str">
        <f>IFERROR(IF($A37&lt;&gt;"",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37" s="397"/>
      <c r="M37" s="14"/>
    </row>
    <row r="38" spans="1:13" x14ac:dyDescent="0.3">
      <c r="A38" s="125"/>
      <c r="B38" s="430"/>
      <c r="C38" s="394" t="str">
        <f>IFERROR(IF($A38&lt;&gt;"",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38" s="397"/>
      <c r="E38" s="120"/>
      <c r="F38" s="394" t="str">
        <f>IFERROR(IF($A38&lt;&gt;"",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38" s="397"/>
      <c r="H38" s="394" t="str">
        <f>IFERROR(IF($A38&lt;&gt;"",
   IF(VALUE(RIGHT(EInfo_LGM[[#This Row],[E.Info.DT.LGM-1]]))= 2,
     IF(VALUE(RIGHT(EInfo_LGM[[#This Row],[E.Info.DT.LGM-2]]))=2, "E.Info.LGM-3.Quantity", "N/A"), "N/A"), ""), "")</f>
        <v/>
      </c>
      <c r="I38" s="397"/>
      <c r="J38" s="430"/>
      <c r="K38" s="394" t="str">
        <f>IFERROR(IF($A38&lt;&gt;"",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38" s="397"/>
      <c r="M38" s="14"/>
    </row>
    <row r="39" spans="1:13" x14ac:dyDescent="0.3">
      <c r="A39" s="125"/>
      <c r="B39" s="430"/>
      <c r="C39" s="394" t="str">
        <f>IFERROR(IF($A39&lt;&gt;"",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39" s="397"/>
      <c r="E39" s="120"/>
      <c r="F39" s="394" t="str">
        <f>IFERROR(IF($A39&lt;&gt;"",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39" s="397"/>
      <c r="H39" s="394" t="str">
        <f>IFERROR(IF($A39&lt;&gt;"",
   IF(VALUE(RIGHT(EInfo_LGM[[#This Row],[E.Info.DT.LGM-1]]))= 2,
     IF(VALUE(RIGHT(EInfo_LGM[[#This Row],[E.Info.DT.LGM-2]]))=2, "E.Info.LGM-3.Quantity", "N/A"), "N/A"), ""), "")</f>
        <v/>
      </c>
      <c r="I39" s="397"/>
      <c r="J39" s="430"/>
      <c r="K39" s="394" t="str">
        <f>IFERROR(IF($A39&lt;&gt;"",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39" s="397"/>
      <c r="M39" s="14"/>
    </row>
    <row r="40" spans="1:13" x14ac:dyDescent="0.3">
      <c r="A40" s="125"/>
      <c r="B40" s="430"/>
      <c r="C40" s="394" t="str">
        <f>IFERROR(IF($A40&lt;&gt;"",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40" s="397"/>
      <c r="E40" s="120"/>
      <c r="F40" s="394" t="str">
        <f>IFERROR(IF($A40&lt;&gt;"",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40" s="397"/>
      <c r="H40" s="394" t="str">
        <f>IFERROR(IF($A40&lt;&gt;"",
   IF(VALUE(RIGHT(EInfo_LGM[[#This Row],[E.Info.DT.LGM-1]]))= 2,
     IF(VALUE(RIGHT(EInfo_LGM[[#This Row],[E.Info.DT.LGM-2]]))=2, "E.Info.LGM-3.Quantity", "N/A"), "N/A"), ""), "")</f>
        <v/>
      </c>
      <c r="I40" s="397"/>
      <c r="J40" s="430"/>
      <c r="K40" s="394" t="str">
        <f>IFERROR(IF($A40&lt;&gt;"",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40" s="397"/>
      <c r="M40" s="14"/>
    </row>
    <row r="41" spans="1:13" x14ac:dyDescent="0.3">
      <c r="A41" s="125"/>
      <c r="B41" s="430"/>
      <c r="C41" s="394" t="str">
        <f>IFERROR(IF($A41&lt;&gt;"",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41" s="397"/>
      <c r="E41" s="120"/>
      <c r="F41" s="394" t="str">
        <f>IFERROR(IF($A41&lt;&gt;"",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41" s="397"/>
      <c r="H41" s="394" t="str">
        <f>IFERROR(IF($A41&lt;&gt;"",
   IF(VALUE(RIGHT(EInfo_LGM[[#This Row],[E.Info.DT.LGM-1]]))= 2,
     IF(VALUE(RIGHT(EInfo_LGM[[#This Row],[E.Info.DT.LGM-2]]))=2, "E.Info.LGM-3.Quantity", "N/A"), "N/A"), ""), "")</f>
        <v/>
      </c>
      <c r="I41" s="397"/>
      <c r="J41" s="430"/>
      <c r="K41" s="394" t="str">
        <f>IFERROR(IF($A41&lt;&gt;"",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41" s="397"/>
      <c r="M41" s="14"/>
    </row>
    <row r="42" spans="1:13" x14ac:dyDescent="0.3">
      <c r="A42" s="125"/>
      <c r="B42" s="430"/>
      <c r="C42" s="394" t="str">
        <f>IFERROR(IF($A42&lt;&gt;"",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42" s="397"/>
      <c r="E42" s="120"/>
      <c r="F42" s="394" t="str">
        <f>IFERROR(IF($A42&lt;&gt;"",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42" s="397"/>
      <c r="H42" s="394" t="str">
        <f>IFERROR(IF($A42&lt;&gt;"",
   IF(VALUE(RIGHT(EInfo_LGM[[#This Row],[E.Info.DT.LGM-1]]))= 2,
     IF(VALUE(RIGHT(EInfo_LGM[[#This Row],[E.Info.DT.LGM-2]]))=2, "E.Info.LGM-3.Quantity", "N/A"), "N/A"), ""), "")</f>
        <v/>
      </c>
      <c r="I42" s="397"/>
      <c r="J42" s="430"/>
      <c r="K42" s="394" t="str">
        <f>IFERROR(IF($A42&lt;&gt;"",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42" s="397"/>
      <c r="M42" s="14"/>
    </row>
    <row r="43" spans="1:13" x14ac:dyDescent="0.3">
      <c r="A43" s="125"/>
      <c r="B43" s="430"/>
      <c r="C43" s="394" t="str">
        <f>IFERROR(IF($A43&lt;&gt;"",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43" s="397"/>
      <c r="E43" s="120"/>
      <c r="F43" s="394" t="str">
        <f>IFERROR(IF($A43&lt;&gt;"",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43" s="397"/>
      <c r="H43" s="394" t="str">
        <f>IFERROR(IF($A43&lt;&gt;"",
   IF(VALUE(RIGHT(EInfo_LGM[[#This Row],[E.Info.DT.LGM-1]]))= 2,
     IF(VALUE(RIGHT(EInfo_LGM[[#This Row],[E.Info.DT.LGM-2]]))=2, "E.Info.LGM-3.Quantity", "N/A"), "N/A"), ""), "")</f>
        <v/>
      </c>
      <c r="I43" s="397"/>
      <c r="J43" s="430"/>
      <c r="K43" s="394" t="str">
        <f>IFERROR(IF($A43&lt;&gt;"",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43" s="397"/>
      <c r="M43" s="14"/>
    </row>
    <row r="44" spans="1:13" x14ac:dyDescent="0.3">
      <c r="A44" s="125"/>
      <c r="B44" s="430"/>
      <c r="C44" s="394" t="str">
        <f>IFERROR(IF($A44&lt;&gt;"",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44" s="397"/>
      <c r="E44" s="120"/>
      <c r="F44" s="394" t="str">
        <f>IFERROR(IF($A44&lt;&gt;"",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44" s="397"/>
      <c r="H44" s="394" t="str">
        <f>IFERROR(IF($A44&lt;&gt;"",
   IF(VALUE(RIGHT(EInfo_LGM[[#This Row],[E.Info.DT.LGM-1]]))= 2,
     IF(VALUE(RIGHT(EInfo_LGM[[#This Row],[E.Info.DT.LGM-2]]))=2, "E.Info.LGM-3.Quantity", "N/A"), "N/A"), ""), "")</f>
        <v/>
      </c>
      <c r="I44" s="397"/>
      <c r="J44" s="430"/>
      <c r="K44" s="394" t="str">
        <f>IFERROR(IF($A44&lt;&gt;"",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44" s="397"/>
      <c r="M44" s="14"/>
    </row>
    <row r="45" spans="1:13" x14ac:dyDescent="0.3">
      <c r="A45" s="125"/>
      <c r="B45" s="430"/>
      <c r="C45" s="394" t="str">
        <f>IFERROR(IF($A45&lt;&gt;"",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45" s="397"/>
      <c r="E45" s="120"/>
      <c r="F45" s="394" t="str">
        <f>IFERROR(IF($A45&lt;&gt;"",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45" s="397"/>
      <c r="H45" s="394" t="str">
        <f>IFERROR(IF($A45&lt;&gt;"",
   IF(VALUE(RIGHT(EInfo_LGM[[#This Row],[E.Info.DT.LGM-1]]))= 2,
     IF(VALUE(RIGHT(EInfo_LGM[[#This Row],[E.Info.DT.LGM-2]]))=2, "E.Info.LGM-3.Quantity", "N/A"), "N/A"), ""), "")</f>
        <v/>
      </c>
      <c r="I45" s="397"/>
      <c r="J45" s="430"/>
      <c r="K45" s="394" t="str">
        <f>IFERROR(IF($A45&lt;&gt;"",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45" s="397"/>
      <c r="M45" s="14"/>
    </row>
    <row r="46" spans="1:13" x14ac:dyDescent="0.3">
      <c r="A46" s="125"/>
      <c r="B46" s="430"/>
      <c r="C46" s="394" t="str">
        <f>IFERROR(IF($A46&lt;&gt;"",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46" s="397"/>
      <c r="E46" s="120"/>
      <c r="F46" s="394" t="str">
        <f>IFERROR(IF($A46&lt;&gt;"",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46" s="397"/>
      <c r="H46" s="394" t="str">
        <f>IFERROR(IF($A46&lt;&gt;"",
   IF(VALUE(RIGHT(EInfo_LGM[[#This Row],[E.Info.DT.LGM-1]]))= 2,
     IF(VALUE(RIGHT(EInfo_LGM[[#This Row],[E.Info.DT.LGM-2]]))=2, "E.Info.LGM-3.Quantity", "N/A"), "N/A"), ""), "")</f>
        <v/>
      </c>
      <c r="I46" s="397"/>
      <c r="J46" s="430"/>
      <c r="K46" s="394" t="str">
        <f>IFERROR(IF($A46&lt;&gt;"",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46" s="397"/>
      <c r="M46" s="14"/>
    </row>
    <row r="47" spans="1:13" x14ac:dyDescent="0.3">
      <c r="A47" s="125"/>
      <c r="B47" s="430"/>
      <c r="C47" s="394" t="str">
        <f>IFERROR(IF($A47&lt;&gt;"",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47" s="397"/>
      <c r="E47" s="120"/>
      <c r="F47" s="394" t="str">
        <f>IFERROR(IF($A47&lt;&gt;"",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47" s="397"/>
      <c r="H47" s="394" t="str">
        <f>IFERROR(IF($A47&lt;&gt;"",
   IF(VALUE(RIGHT(EInfo_LGM[[#This Row],[E.Info.DT.LGM-1]]))= 2,
     IF(VALUE(RIGHT(EInfo_LGM[[#This Row],[E.Info.DT.LGM-2]]))=2, "E.Info.LGM-3.Quantity", "N/A"), "N/A"), ""), "")</f>
        <v/>
      </c>
      <c r="I47" s="397"/>
      <c r="J47" s="430"/>
      <c r="K47" s="394" t="str">
        <f>IFERROR(IF($A47&lt;&gt;"",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47" s="397"/>
      <c r="M47" s="14"/>
    </row>
    <row r="48" spans="1:13" x14ac:dyDescent="0.3">
      <c r="A48" s="125"/>
      <c r="B48" s="430"/>
      <c r="C48" s="394" t="str">
        <f>IFERROR(IF($A48&lt;&gt;"",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48" s="397"/>
      <c r="E48" s="120"/>
      <c r="F48" s="394" t="str">
        <f>IFERROR(IF($A48&lt;&gt;"",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48" s="397"/>
      <c r="H48" s="394" t="str">
        <f>IFERROR(IF($A48&lt;&gt;"",
   IF(VALUE(RIGHT(EInfo_LGM[[#This Row],[E.Info.DT.LGM-1]]))= 2,
     IF(VALUE(RIGHT(EInfo_LGM[[#This Row],[E.Info.DT.LGM-2]]))=2, "E.Info.LGM-3.Quantity", "N/A"), "N/A"), ""), "")</f>
        <v/>
      </c>
      <c r="I48" s="397"/>
      <c r="J48" s="430"/>
      <c r="K48" s="394" t="str">
        <f>IFERROR(IF($A48&lt;&gt;"",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48" s="397"/>
      <c r="M48" s="14"/>
    </row>
    <row r="49" spans="1:13" x14ac:dyDescent="0.3">
      <c r="A49" s="125"/>
      <c r="B49" s="430"/>
      <c r="C49" s="394" t="str">
        <f>IFERROR(IF($A49&lt;&gt;"",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49" s="397"/>
      <c r="E49" s="120"/>
      <c r="F49" s="394" t="str">
        <f>IFERROR(IF($A49&lt;&gt;"",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49" s="397"/>
      <c r="H49" s="394" t="str">
        <f>IFERROR(IF($A49&lt;&gt;"",
   IF(VALUE(RIGHT(EInfo_LGM[[#This Row],[E.Info.DT.LGM-1]]))= 2,
     IF(VALUE(RIGHT(EInfo_LGM[[#This Row],[E.Info.DT.LGM-2]]))=2, "E.Info.LGM-3.Quantity", "N/A"), "N/A"), ""), "")</f>
        <v/>
      </c>
      <c r="I49" s="397"/>
      <c r="J49" s="430"/>
      <c r="K49" s="394" t="str">
        <f>IFERROR(IF($A49&lt;&gt;"",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49" s="397"/>
      <c r="M49" s="14"/>
    </row>
    <row r="50" spans="1:13" x14ac:dyDescent="0.3">
      <c r="A50" s="125"/>
      <c r="B50" s="430"/>
      <c r="C50" s="394" t="str">
        <f>IFERROR(IF($A50&lt;&gt;"",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50" s="397"/>
      <c r="E50" s="120"/>
      <c r="F50" s="394" t="str">
        <f>IFERROR(IF($A50&lt;&gt;"",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50" s="397"/>
      <c r="H50" s="394" t="str">
        <f>IFERROR(IF($A50&lt;&gt;"",
   IF(VALUE(RIGHT(EInfo_LGM[[#This Row],[E.Info.DT.LGM-1]]))= 2,
     IF(VALUE(RIGHT(EInfo_LGM[[#This Row],[E.Info.DT.LGM-2]]))=2, "E.Info.LGM-3.Quantity", "N/A"), "N/A"), ""), "")</f>
        <v/>
      </c>
      <c r="I50" s="397"/>
      <c r="J50" s="430"/>
      <c r="K50" s="394" t="str">
        <f>IFERROR(IF($A50&lt;&gt;"",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50" s="397"/>
      <c r="M50" s="14"/>
    </row>
    <row r="51" spans="1:13" x14ac:dyDescent="0.3">
      <c r="A51" s="431"/>
      <c r="B51" s="430"/>
      <c r="C51" s="394" t="str">
        <f>IFERROR(IF($A51&lt;&gt;"",
     IF(EInfo_LGM[[#This Row],[E.Info.DT.LGM-1]]="N/A", "N/A",
         _xlfn.TEXTJOIN(", "&amp;CHAR(10), TRUE, "E.Info.LGM-1.PrivacyAssetEvent",
          IF(VALUE(RIGHT(EInfo_LGM[[#This Row],[E.Info.DT.LGM-1]]))=1, "E.Info.LGM-1.PrivacyAssetEvent.Legal", "E.Info.LGM-1.PrivacyAssetEvent.LGM"),
          "E.Info.LGM-2.LGM",
          IF(VALUE(RIGHT(EInfo_LGM[[#This Row],[E.Info.DT.LGM-2]]))=2, {"E.Info.LGM-3.Events","E.Info.LGM-4.Events","E.Info.LGM-4.LGM"}, "")
)), ""), "")</f>
        <v/>
      </c>
      <c r="D51" s="398"/>
      <c r="E51" s="120"/>
      <c r="F51" s="394" t="str">
        <f>IFERROR(IF($A51&lt;&gt;"",
     IF(EInfo_LGM[[#This Row],[E.Info.DT.LGM-2]]="N/A", "N/A",
      IF(VALUE(RIGHT(EInfo_LGM[[#This Row],[E.Info.DT.LGM-1]]))=2,
         IF(VALUE(RIGHT(EInfo_LGM[[#This Row],[E.Info.DT.LGM-2]]))=1, "E.Info.LGM-2.ExternalStorage", "E.Info.LGM-2.InternalStorage"), "")), ""), "")</f>
        <v/>
      </c>
      <c r="G51" s="398"/>
      <c r="H51" s="394" t="str">
        <f>IFERROR(IF($A51&lt;&gt;"",
   IF(VALUE(RIGHT(EInfo_LGM[[#This Row],[E.Info.DT.LGM-1]]))= 2,
     IF(VALUE(RIGHT(EInfo_LGM[[#This Row],[E.Info.DT.LGM-2]]))=2, "E.Info.LGM-3.Quantity", "N/A"), "N/A"), ""), "")</f>
        <v/>
      </c>
      <c r="I51" s="398"/>
      <c r="J51" s="430"/>
      <c r="K51" s="394" t="str">
        <f>IFERROR(IF($A51&lt;&gt;"",
   IF(VALUE(RIGHT(EInfo_LGM[[#This Row],[E.Info.DT.LGM-1]]))= 2,
     IF(VALUE(RIGHT(EInfo_LGM[[#This Row],[E.Info.DT.LGM-2]]))=2,
         IF(VALUE(RIGHT(EInfo_LGM[[#This Row],[E.Info.DT.LGM-4]]))=1, "E.Info.LGM-4.Timestamp", "E.Info.LGM-4.TimeRelated"), "N/A"), "N/A"), ""), "")</f>
        <v/>
      </c>
      <c r="L51" s="398"/>
      <c r="M51" s="14"/>
    </row>
  </sheetData>
  <sheetProtection algorithmName="SHA-512" hashValue="G+Rc9X198sfJWXMkZDH+BrV18DPVQr+gvHJDQbnsHAgvL2wc7llCCEEpK0CwY8eGooeFdcSQYApgAKmHgaJokA==" saltValue="nHc5SREqKzWY6HA6I9YCXw==" spinCount="100000" sheet="1" objects="1" scenarios="1" formatCells="0" formatColumns="0" formatRows="0" sort="0"/>
  <protectedRanges>
    <protectedRange sqref="B4:B51" name="DT_LGM_1"/>
    <protectedRange sqref="J4:J51" name="DT_LGM_4"/>
    <protectedRange sqref="I4:I51" name="LGM_3"/>
    <protectedRange sqref="D4:D51" name="LGM"/>
    <protectedRange sqref="G4:G51" name="LGM_2"/>
    <protectedRange sqref="L4:L51" name="LGM_4"/>
    <protectedRange sqref="E4:E51" name="DT_LGM_2"/>
  </protectedRanges>
  <phoneticPr fontId="7" type="noConversion"/>
  <conditionalFormatting sqref="D4:D51">
    <cfRule type="cellIs" dxfId="18" priority="16" operator="equal">
      <formula>"N/A"</formula>
    </cfRule>
    <cfRule type="cellIs" dxfId="17" priority="17" operator="equal">
      <formula>"PASS"</formula>
    </cfRule>
    <cfRule type="cellIs" dxfId="16" priority="18" operator="equal">
      <formula>"FAIL"</formula>
    </cfRule>
  </conditionalFormatting>
  <conditionalFormatting sqref="G4:G51">
    <cfRule type="cellIs" dxfId="15" priority="7" operator="equal">
      <formula>"N/A"</formula>
    </cfRule>
    <cfRule type="cellIs" dxfId="14" priority="8" operator="equal">
      <formula>"PASS"</formula>
    </cfRule>
    <cfRule type="cellIs" dxfId="13" priority="9" operator="equal">
      <formula>"FAIL"</formula>
    </cfRule>
  </conditionalFormatting>
  <conditionalFormatting sqref="I4:I51">
    <cfRule type="cellIs" dxfId="12" priority="4" operator="equal">
      <formula>"N/A"</formula>
    </cfRule>
    <cfRule type="cellIs" dxfId="11" priority="5" operator="equal">
      <formula>"PASS"</formula>
    </cfRule>
    <cfRule type="cellIs" dxfId="10" priority="6" operator="equal">
      <formula>"FAIL"</formula>
    </cfRule>
  </conditionalFormatting>
  <conditionalFormatting sqref="L4:L51">
    <cfRule type="cellIs" dxfId="9" priority="1" operator="equal">
      <formula>"N/A"</formula>
    </cfRule>
    <cfRule type="cellIs" dxfId="8" priority="2" operator="equal">
      <formula>"PASS"</formula>
    </cfRule>
    <cfRule type="cellIs" dxfId="7" priority="3" operator="equal">
      <formula>"FAIL"</formula>
    </cfRule>
  </conditionalFormatting>
  <dataValidations count="3">
    <dataValidation type="list" allowBlank="1" showInputMessage="1" showErrorMessage="1" sqref="B4:B51" xr:uid="{02D8FAFD-82C3-4116-AF6D-19DEC16B4958}">
      <formula1>"N/A,DT.LGM-1.DN-1,DT.LGM-1.DN-2"</formula1>
    </dataValidation>
    <dataValidation type="list" allowBlank="1" showInputMessage="1" showErrorMessage="1" sqref="E4:E51" xr:uid="{6BB98FD9-DB8D-439C-9657-81E36277A9EE}">
      <formula1>"N/A,DT.LGM-2.DN-1,DT.LGM-2.DN-2"</formula1>
    </dataValidation>
    <dataValidation type="list" allowBlank="1" showInputMessage="1" showErrorMessage="1" sqref="J4:J51" xr:uid="{1822510B-02C7-4CC7-8020-3CA878312216}">
      <formula1>"N/A,DT.LGM-4.DN-1,DT.LGM-4.DN-2"</formula1>
    </dataValidation>
  </dataValidations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A7997-2782-4BDA-B2CD-B549167B818C}">
  <sheetPr>
    <tabColor theme="2"/>
    <pageSetUpPr autoPageBreaks="0"/>
  </sheetPr>
  <dimension ref="A1:H50"/>
  <sheetViews>
    <sheetView zoomScaleNormal="100" workbookViewId="0"/>
  </sheetViews>
  <sheetFormatPr defaultRowHeight="16.5" x14ac:dyDescent="0.3"/>
  <cols>
    <col min="1" max="2" width="35.875" customWidth="1"/>
    <col min="3" max="3" width="31.125" customWidth="1"/>
    <col min="4" max="4" width="38.625" customWidth="1"/>
    <col min="5" max="5" width="42.125" customWidth="1"/>
    <col min="6" max="6" width="39.75" customWidth="1"/>
    <col min="7" max="7" width="51.875" customWidth="1"/>
    <col min="8" max="8" width="50.375" customWidth="1"/>
    <col min="9" max="9" width="42.125" customWidth="1"/>
    <col min="10" max="10" width="26.625" customWidth="1"/>
    <col min="11" max="12" width="20.625" customWidth="1"/>
    <col min="13" max="14" width="26.625" customWidth="1"/>
  </cols>
  <sheetData>
    <row r="1" spans="1:8" ht="17.25" thickBot="1" x14ac:dyDescent="0.35">
      <c r="A1" s="434" t="s">
        <v>387</v>
      </c>
      <c r="C1" s="88"/>
      <c r="D1" s="88" t="s">
        <v>54</v>
      </c>
      <c r="G1" s="88" t="s">
        <v>54</v>
      </c>
      <c r="H1" s="88"/>
    </row>
    <row r="2" spans="1:8" ht="17.25" x14ac:dyDescent="0.3">
      <c r="A2" s="152" t="s">
        <v>249</v>
      </c>
      <c r="B2" s="153" t="s">
        <v>50</v>
      </c>
      <c r="C2" s="140" t="s">
        <v>53</v>
      </c>
      <c r="D2" s="151" t="s">
        <v>109</v>
      </c>
      <c r="E2" s="151" t="s">
        <v>248</v>
      </c>
      <c r="F2" s="159" t="s">
        <v>52</v>
      </c>
      <c r="G2" s="47" t="s">
        <v>250</v>
      </c>
      <c r="H2" s="90" t="s">
        <v>251</v>
      </c>
    </row>
    <row r="3" spans="1:8" s="184" customFormat="1" ht="72" thickBot="1" x14ac:dyDescent="0.3">
      <c r="A3" s="591" t="s">
        <v>388</v>
      </c>
      <c r="B3" s="592" t="s">
        <v>389</v>
      </c>
      <c r="C3" s="284" t="s">
        <v>282</v>
      </c>
      <c r="D3" s="285" t="s">
        <v>390</v>
      </c>
      <c r="E3" s="340" t="s">
        <v>391</v>
      </c>
      <c r="F3" s="455" t="s">
        <v>392</v>
      </c>
      <c r="G3" s="285" t="s">
        <v>393</v>
      </c>
      <c r="H3" s="435" t="s">
        <v>394</v>
      </c>
    </row>
    <row r="4" spans="1:8" ht="34.5" customHeight="1" x14ac:dyDescent="0.3">
      <c r="A4" s="442"/>
      <c r="B4" s="443"/>
      <c r="C4" s="335"/>
      <c r="D4" s="450" t="str" cm="1">
        <f t="array" ref="D4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4" s="157"/>
      <c r="F4" s="160"/>
      <c r="G4" s="453" t="str" cm="1">
        <f t="array" ref="G4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4" s="154"/>
    </row>
    <row r="5" spans="1:8" ht="33" customHeight="1" x14ac:dyDescent="0.3">
      <c r="A5" s="444"/>
      <c r="B5" s="445"/>
      <c r="C5" s="105"/>
      <c r="D5" s="451" t="str" cm="1">
        <f t="array" ref="D5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5" s="87"/>
      <c r="F5" s="161"/>
      <c r="G5" s="432" t="str" cm="1">
        <f t="array" ref="G5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5" s="155"/>
    </row>
    <row r="6" spans="1:8" x14ac:dyDescent="0.3">
      <c r="A6" s="444"/>
      <c r="B6" s="445"/>
      <c r="C6" s="105"/>
      <c r="D6" s="451" t="str" cm="1">
        <f t="array" ref="D6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6" s="87"/>
      <c r="F6" s="161"/>
      <c r="G6" s="432" t="str" cm="1">
        <f t="array" ref="G6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6" s="155"/>
    </row>
    <row r="7" spans="1:8" x14ac:dyDescent="0.3">
      <c r="A7" s="444"/>
      <c r="B7" s="445"/>
      <c r="C7" s="105"/>
      <c r="D7" s="451" t="str" cm="1">
        <f t="array" ref="D7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7" s="87"/>
      <c r="F7" s="161"/>
      <c r="G7" s="432" t="str" cm="1">
        <f t="array" ref="G7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7" s="155"/>
    </row>
    <row r="8" spans="1:8" x14ac:dyDescent="0.3">
      <c r="A8" s="444"/>
      <c r="B8" s="445"/>
      <c r="C8" s="105"/>
      <c r="D8" s="451" t="str" cm="1">
        <f t="array" ref="D8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8" s="87"/>
      <c r="F8" s="161"/>
      <c r="G8" s="432" t="str" cm="1">
        <f t="array" ref="G8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8" s="155"/>
    </row>
    <row r="9" spans="1:8" x14ac:dyDescent="0.3">
      <c r="A9" s="444"/>
      <c r="B9" s="445"/>
      <c r="C9" s="105"/>
      <c r="D9" s="451" t="str" cm="1">
        <f t="array" ref="D9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9" s="87"/>
      <c r="F9" s="161"/>
      <c r="G9" s="432" t="str" cm="1">
        <f t="array" ref="G9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9" s="155"/>
    </row>
    <row r="10" spans="1:8" x14ac:dyDescent="0.3">
      <c r="A10" s="444"/>
      <c r="B10" s="445"/>
      <c r="C10" s="105"/>
      <c r="D10" s="451" t="str" cm="1">
        <f t="array" ref="D10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10" s="87"/>
      <c r="F10" s="161"/>
      <c r="G10" s="432" t="str" cm="1">
        <f t="array" ref="G10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10" s="155"/>
    </row>
    <row r="11" spans="1:8" x14ac:dyDescent="0.3">
      <c r="A11" s="444"/>
      <c r="B11" s="445"/>
      <c r="C11" s="105"/>
      <c r="D11" s="451" t="str" cm="1">
        <f t="array" ref="D11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11" s="87"/>
      <c r="F11" s="161"/>
      <c r="G11" s="432" t="str" cm="1">
        <f t="array" ref="G11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11" s="155"/>
    </row>
    <row r="12" spans="1:8" x14ac:dyDescent="0.3">
      <c r="A12" s="444"/>
      <c r="B12" s="445"/>
      <c r="C12" s="105"/>
      <c r="D12" s="451" t="str" cm="1">
        <f t="array" ref="D12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12" s="87"/>
      <c r="F12" s="161"/>
      <c r="G12" s="432" t="str" cm="1">
        <f t="array" ref="G12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12" s="155"/>
    </row>
    <row r="13" spans="1:8" x14ac:dyDescent="0.3">
      <c r="A13" s="444"/>
      <c r="B13" s="445"/>
      <c r="C13" s="105"/>
      <c r="D13" s="451" t="str" cm="1">
        <f t="array" ref="D13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13" s="87"/>
      <c r="F13" s="161"/>
      <c r="G13" s="432" t="str" cm="1">
        <f t="array" ref="G13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13" s="155"/>
    </row>
    <row r="14" spans="1:8" x14ac:dyDescent="0.3">
      <c r="A14" s="444"/>
      <c r="B14" s="445"/>
      <c r="C14" s="105"/>
      <c r="D14" s="451" t="str" cm="1">
        <f t="array" ref="D14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14" s="87"/>
      <c r="F14" s="161"/>
      <c r="G14" s="432" t="str" cm="1">
        <f t="array" ref="G14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14" s="155"/>
    </row>
    <row r="15" spans="1:8" x14ac:dyDescent="0.3">
      <c r="A15" s="444"/>
      <c r="B15" s="445"/>
      <c r="C15" s="105"/>
      <c r="D15" s="451" t="str" cm="1">
        <f t="array" ref="D15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15" s="87"/>
      <c r="F15" s="161"/>
      <c r="G15" s="432" t="str" cm="1">
        <f t="array" ref="G15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15" s="155"/>
    </row>
    <row r="16" spans="1:8" x14ac:dyDescent="0.3">
      <c r="A16" s="444"/>
      <c r="B16" s="445"/>
      <c r="C16" s="105"/>
      <c r="D16" s="451" t="str" cm="1">
        <f t="array" ref="D16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16" s="87"/>
      <c r="F16" s="161"/>
      <c r="G16" s="432" t="str" cm="1">
        <f t="array" ref="G16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16" s="155"/>
    </row>
    <row r="17" spans="1:8" x14ac:dyDescent="0.3">
      <c r="A17" s="444"/>
      <c r="B17" s="445"/>
      <c r="C17" s="105"/>
      <c r="D17" s="451" t="str" cm="1">
        <f t="array" ref="D17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17" s="87"/>
      <c r="F17" s="161"/>
      <c r="G17" s="432" t="str" cm="1">
        <f t="array" ref="G17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17" s="155"/>
    </row>
    <row r="18" spans="1:8" x14ac:dyDescent="0.3">
      <c r="A18" s="444"/>
      <c r="B18" s="445"/>
      <c r="C18" s="105"/>
      <c r="D18" s="451" t="str" cm="1">
        <f t="array" ref="D18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18" s="87"/>
      <c r="F18" s="161"/>
      <c r="G18" s="432" t="str" cm="1">
        <f t="array" ref="G18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18" s="155"/>
    </row>
    <row r="19" spans="1:8" x14ac:dyDescent="0.3">
      <c r="A19" s="444"/>
      <c r="B19" s="445"/>
      <c r="C19" s="105"/>
      <c r="D19" s="451" t="str" cm="1">
        <f t="array" ref="D19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19" s="87"/>
      <c r="F19" s="161"/>
      <c r="G19" s="432" t="str" cm="1">
        <f t="array" ref="G19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19" s="155"/>
    </row>
    <row r="20" spans="1:8" x14ac:dyDescent="0.3">
      <c r="A20" s="444"/>
      <c r="B20" s="445"/>
      <c r="C20" s="105"/>
      <c r="D20" s="451" t="str" cm="1">
        <f t="array" ref="D20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20" s="87"/>
      <c r="F20" s="161"/>
      <c r="G20" s="432" t="str" cm="1">
        <f t="array" ref="G20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20" s="155"/>
    </row>
    <row r="21" spans="1:8" x14ac:dyDescent="0.3">
      <c r="A21" s="444"/>
      <c r="B21" s="445"/>
      <c r="C21" s="105"/>
      <c r="D21" s="451" t="str" cm="1">
        <f t="array" ref="D21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21" s="87"/>
      <c r="F21" s="161"/>
      <c r="G21" s="432" t="str" cm="1">
        <f t="array" ref="G21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21" s="155"/>
    </row>
    <row r="22" spans="1:8" x14ac:dyDescent="0.3">
      <c r="A22" s="444"/>
      <c r="B22" s="445"/>
      <c r="C22" s="105"/>
      <c r="D22" s="451" t="str" cm="1">
        <f t="array" ref="D22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22" s="87"/>
      <c r="F22" s="161"/>
      <c r="G22" s="432" t="str" cm="1">
        <f t="array" ref="G22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22" s="155"/>
    </row>
    <row r="23" spans="1:8" x14ac:dyDescent="0.3">
      <c r="A23" s="444"/>
      <c r="B23" s="445"/>
      <c r="C23" s="105"/>
      <c r="D23" s="451" t="str" cm="1">
        <f t="array" ref="D23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23" s="87"/>
      <c r="F23" s="161"/>
      <c r="G23" s="432" t="str" cm="1">
        <f t="array" ref="G23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23" s="155"/>
    </row>
    <row r="24" spans="1:8" x14ac:dyDescent="0.3">
      <c r="A24" s="444"/>
      <c r="B24" s="445"/>
      <c r="C24" s="105"/>
      <c r="D24" s="451" t="str" cm="1">
        <f t="array" ref="D24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24" s="87"/>
      <c r="F24" s="161"/>
      <c r="G24" s="432" t="str" cm="1">
        <f t="array" ref="G24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24" s="155"/>
    </row>
    <row r="25" spans="1:8" x14ac:dyDescent="0.3">
      <c r="A25" s="444"/>
      <c r="B25" s="445"/>
      <c r="C25" s="105"/>
      <c r="D25" s="451" t="str" cm="1">
        <f t="array" ref="D25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25" s="87"/>
      <c r="F25" s="161"/>
      <c r="G25" s="432" t="str" cm="1">
        <f t="array" ref="G25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25" s="155"/>
    </row>
    <row r="26" spans="1:8" x14ac:dyDescent="0.3">
      <c r="A26" s="444"/>
      <c r="B26" s="445"/>
      <c r="C26" s="105"/>
      <c r="D26" s="451" t="str" cm="1">
        <f t="array" ref="D26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26" s="87"/>
      <c r="F26" s="161"/>
      <c r="G26" s="432" t="str" cm="1">
        <f t="array" ref="G26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26" s="155"/>
    </row>
    <row r="27" spans="1:8" x14ac:dyDescent="0.3">
      <c r="A27" s="444"/>
      <c r="B27" s="445"/>
      <c r="C27" s="105"/>
      <c r="D27" s="451" t="str" cm="1">
        <f t="array" ref="D27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27" s="87"/>
      <c r="F27" s="161"/>
      <c r="G27" s="432" t="str" cm="1">
        <f t="array" ref="G27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27" s="155"/>
    </row>
    <row r="28" spans="1:8" x14ac:dyDescent="0.3">
      <c r="A28" s="444"/>
      <c r="B28" s="445"/>
      <c r="C28" s="105"/>
      <c r="D28" s="451" t="str" cm="1">
        <f t="array" ref="D28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28" s="87"/>
      <c r="F28" s="161"/>
      <c r="G28" s="432" t="str" cm="1">
        <f t="array" ref="G28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28" s="155"/>
    </row>
    <row r="29" spans="1:8" x14ac:dyDescent="0.3">
      <c r="A29" s="444"/>
      <c r="B29" s="445"/>
      <c r="C29" s="105"/>
      <c r="D29" s="451" t="str" cm="1">
        <f t="array" ref="D29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29" s="87"/>
      <c r="F29" s="161"/>
      <c r="G29" s="432" t="str" cm="1">
        <f t="array" ref="G29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29" s="155"/>
    </row>
    <row r="30" spans="1:8" x14ac:dyDescent="0.3">
      <c r="A30" s="444"/>
      <c r="B30" s="445"/>
      <c r="C30" s="105"/>
      <c r="D30" s="451" t="str" cm="1">
        <f t="array" ref="D30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30" s="87"/>
      <c r="F30" s="161"/>
      <c r="G30" s="432" t="str" cm="1">
        <f t="array" ref="G30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30" s="155"/>
    </row>
    <row r="31" spans="1:8" x14ac:dyDescent="0.3">
      <c r="A31" s="444"/>
      <c r="B31" s="445"/>
      <c r="C31" s="105"/>
      <c r="D31" s="451" t="str" cm="1">
        <f t="array" ref="D31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31" s="87"/>
      <c r="F31" s="161"/>
      <c r="G31" s="432" t="str" cm="1">
        <f t="array" ref="G31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31" s="155"/>
    </row>
    <row r="32" spans="1:8" x14ac:dyDescent="0.3">
      <c r="A32" s="444"/>
      <c r="B32" s="445"/>
      <c r="C32" s="446"/>
      <c r="D32" s="451" t="str" cm="1">
        <f t="array" ref="D32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32" s="87"/>
      <c r="F32" s="161"/>
      <c r="G32" s="432" t="str" cm="1">
        <f t="array" ref="G32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32" s="155"/>
    </row>
    <row r="33" spans="1:8" x14ac:dyDescent="0.3">
      <c r="A33" s="444"/>
      <c r="B33" s="445"/>
      <c r="C33" s="446"/>
      <c r="D33" s="451" t="str" cm="1">
        <f t="array" ref="D33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33" s="87"/>
      <c r="F33" s="161"/>
      <c r="G33" s="432" t="str" cm="1">
        <f t="array" ref="G33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33" s="155"/>
    </row>
    <row r="34" spans="1:8" x14ac:dyDescent="0.3">
      <c r="A34" s="444"/>
      <c r="B34" s="445"/>
      <c r="C34" s="446"/>
      <c r="D34" s="451" t="str" cm="1">
        <f t="array" ref="D34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34" s="87"/>
      <c r="F34" s="161"/>
      <c r="G34" s="432" t="str" cm="1">
        <f t="array" ref="G34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34" s="155"/>
    </row>
    <row r="35" spans="1:8" x14ac:dyDescent="0.3">
      <c r="A35" s="444"/>
      <c r="B35" s="445"/>
      <c r="C35" s="446"/>
      <c r="D35" s="451" t="str" cm="1">
        <f t="array" ref="D35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35" s="87"/>
      <c r="F35" s="161"/>
      <c r="G35" s="432" t="str" cm="1">
        <f t="array" ref="G35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35" s="155"/>
    </row>
    <row r="36" spans="1:8" x14ac:dyDescent="0.3">
      <c r="A36" s="444"/>
      <c r="B36" s="445"/>
      <c r="C36" s="446"/>
      <c r="D36" s="451" t="str" cm="1">
        <f t="array" ref="D36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36" s="87"/>
      <c r="F36" s="161"/>
      <c r="G36" s="432" t="str" cm="1">
        <f t="array" ref="G36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36" s="155"/>
    </row>
    <row r="37" spans="1:8" x14ac:dyDescent="0.3">
      <c r="A37" s="444"/>
      <c r="B37" s="445"/>
      <c r="C37" s="446"/>
      <c r="D37" s="451" t="str" cm="1">
        <f t="array" ref="D37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37" s="87"/>
      <c r="F37" s="161"/>
      <c r="G37" s="432" t="str" cm="1">
        <f t="array" ref="G37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37" s="155"/>
    </row>
    <row r="38" spans="1:8" x14ac:dyDescent="0.3">
      <c r="A38" s="444"/>
      <c r="B38" s="445"/>
      <c r="C38" s="446"/>
      <c r="D38" s="451" t="str" cm="1">
        <f t="array" ref="D38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38" s="87"/>
      <c r="F38" s="161"/>
      <c r="G38" s="432" t="str" cm="1">
        <f t="array" ref="G38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38" s="155"/>
    </row>
    <row r="39" spans="1:8" x14ac:dyDescent="0.3">
      <c r="A39" s="444"/>
      <c r="B39" s="445"/>
      <c r="C39" s="446"/>
      <c r="D39" s="451" t="str" cm="1">
        <f t="array" ref="D39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39" s="87"/>
      <c r="F39" s="161"/>
      <c r="G39" s="432" t="str" cm="1">
        <f t="array" ref="G39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39" s="155"/>
    </row>
    <row r="40" spans="1:8" x14ac:dyDescent="0.3">
      <c r="A40" s="444"/>
      <c r="B40" s="445"/>
      <c r="C40" s="446"/>
      <c r="D40" s="451" t="str" cm="1">
        <f t="array" ref="D40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40" s="87"/>
      <c r="F40" s="161"/>
      <c r="G40" s="432" t="str" cm="1">
        <f t="array" ref="G40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40" s="155"/>
    </row>
    <row r="41" spans="1:8" x14ac:dyDescent="0.3">
      <c r="A41" s="444"/>
      <c r="B41" s="445"/>
      <c r="C41" s="446"/>
      <c r="D41" s="451" t="str" cm="1">
        <f t="array" ref="D41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41" s="87"/>
      <c r="F41" s="161"/>
      <c r="G41" s="432" t="str" cm="1">
        <f t="array" ref="G41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41" s="155"/>
    </row>
    <row r="42" spans="1:8" x14ac:dyDescent="0.3">
      <c r="A42" s="444"/>
      <c r="B42" s="445"/>
      <c r="C42" s="446"/>
      <c r="D42" s="451" t="str" cm="1">
        <f t="array" ref="D42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42" s="87"/>
      <c r="F42" s="161"/>
      <c r="G42" s="432" t="str" cm="1">
        <f t="array" ref="G42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42" s="155"/>
    </row>
    <row r="43" spans="1:8" x14ac:dyDescent="0.3">
      <c r="A43" s="444"/>
      <c r="B43" s="445"/>
      <c r="C43" s="446"/>
      <c r="D43" s="451" t="str" cm="1">
        <f t="array" ref="D43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43" s="87"/>
      <c r="F43" s="161"/>
      <c r="G43" s="432" t="str" cm="1">
        <f t="array" ref="G43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43" s="155"/>
    </row>
    <row r="44" spans="1:8" x14ac:dyDescent="0.3">
      <c r="A44" s="444"/>
      <c r="B44" s="445"/>
      <c r="C44" s="446"/>
      <c r="D44" s="451" t="str" cm="1">
        <f t="array" ref="D44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44" s="87"/>
      <c r="F44" s="161"/>
      <c r="G44" s="432" t="str" cm="1">
        <f t="array" ref="G44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44" s="155"/>
    </row>
    <row r="45" spans="1:8" x14ac:dyDescent="0.3">
      <c r="A45" s="444"/>
      <c r="B45" s="445"/>
      <c r="C45" s="446"/>
      <c r="D45" s="451" t="str" cm="1">
        <f t="array" ref="D45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45" s="87"/>
      <c r="F45" s="161"/>
      <c r="G45" s="432" t="str" cm="1">
        <f t="array" ref="G45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45" s="155"/>
    </row>
    <row r="46" spans="1:8" x14ac:dyDescent="0.3">
      <c r="A46" s="444"/>
      <c r="B46" s="445"/>
      <c r="C46" s="446"/>
      <c r="D46" s="451" t="str" cm="1">
        <f t="array" ref="D46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46" s="87"/>
      <c r="F46" s="161"/>
      <c r="G46" s="432" t="str" cm="1">
        <f t="array" ref="G46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46" s="155"/>
    </row>
    <row r="47" spans="1:8" x14ac:dyDescent="0.3">
      <c r="A47" s="444"/>
      <c r="B47" s="445"/>
      <c r="C47" s="446"/>
      <c r="D47" s="451" t="str" cm="1">
        <f t="array" ref="D47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47" s="87"/>
      <c r="F47" s="161"/>
      <c r="G47" s="432" t="str" cm="1">
        <f t="array" ref="G47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47" s="155"/>
    </row>
    <row r="48" spans="1:8" x14ac:dyDescent="0.3">
      <c r="A48" s="444"/>
      <c r="B48" s="445"/>
      <c r="C48" s="446"/>
      <c r="D48" s="451" t="str" cm="1">
        <f t="array" ref="D48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48" s="87"/>
      <c r="F48" s="161"/>
      <c r="G48" s="432" t="str" cm="1">
        <f t="array" ref="G48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48" s="155"/>
    </row>
    <row r="49" spans="1:8" x14ac:dyDescent="0.3">
      <c r="A49" s="444"/>
      <c r="B49" s="445"/>
      <c r="C49" s="446"/>
      <c r="D49" s="451" t="str" cm="1">
        <f t="array" ref="D49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49" s="87"/>
      <c r="F49" s="161"/>
      <c r="G49" s="432" t="str" cm="1">
        <f t="array" ref="G49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49" s="155"/>
    </row>
    <row r="50" spans="1:8" ht="17.25" thickBot="1" x14ac:dyDescent="0.35">
      <c r="A50" s="447"/>
      <c r="B50" s="448"/>
      <c r="C50" s="449"/>
      <c r="D50" s="452" t="str" cm="1">
        <f t="array" ref="D50">IFERROR(IF(EInfo_GEC1[[#This Row],[Component]]&lt;&gt;"",
  _xlfn.IFS(EInfo_GEC1[[#This Row],[Type]]="Software", "E.Info.GEC-1.SoftwareDocumentation",
      EInfo_GEC1[[#This Row],[Type]]="Hardware", "E.Info.GEC-1.HardwareDocumentation"),
 ""), "")</f>
        <v/>
      </c>
      <c r="E50" s="158"/>
      <c r="F50" s="162"/>
      <c r="G50" s="454" t="str" cm="1">
        <f t="array" ref="G50">IF(EInfo_GEC1[[#This Row],[Component]]&lt;&gt;"",
  IF(EInfo_GEC1[[#This Row],[E.Info.DT.GEC-1]]&lt;&gt;"",
    IF(EInfo_GEC1[[#This Row],[E.Info.DT.GEC-1]]&lt;&gt;"N/A",
      _xlfn.TEXTJOIN(", "&amp;CHAR(10), TRUE, "E.Info.GEC-1.ListOfVulnerabilities",
        IFERROR(_xlfn.IFS(VALUE(RIGHT(EInfo_GEC1[[#This Row],[E.Info.DT.GEC-1]]))=2, "E.Info.GEC-1.ListOfVulnerabilities.Remediated",
        VALUE(RIGHT(EInfo_GEC1[[#This Row],[E.Info.DT.GEC-1]]))=3, "E.Info.GEC-1.ListOfVulnerabilities.SpecificConditions",
        VALUE(RIGHT(EInfo_GEC1[[#This Row],[E.Info.DT.GEC-1]]))=4, "E.Info.GEC-1.ListOfVulnerabilities.Mitigated",
        VALUE(RIGHT(EInfo_GEC1[[#This Row],[E.Info.DT.GEC-1]]))=5, "E.Info.GEC-1.ListOfVulnerabilities.Accepted"), "")), "N/A"), ""), "")</f>
        <v/>
      </c>
      <c r="H50" s="156"/>
    </row>
  </sheetData>
  <sheetProtection algorithmName="SHA-512" hashValue="UbUiLJW/MKlK6HYVKNobtf0PRUVfHqOHE58AFMnDgIS8KGF15MP3nWZXs94jGnb5wOP7nmARJlV9/S6DQOtpjA==" saltValue="LGfBF66nNOG58YoDuXpMGA==" spinCount="100000" sheet="1" objects="1" scenarios="1" formatCells="0" formatColumns="0" formatRows="0" sort="0"/>
  <protectedRanges>
    <protectedRange sqref="C4:C50" name="DT_GEC_1"/>
    <protectedRange sqref="E4:F50" name="GEC_1_2"/>
    <protectedRange sqref="A4:B50" name="GEC_1_1"/>
    <protectedRange sqref="H4:H50" name="GEC_1_3"/>
  </protectedRanges>
  <conditionalFormatting sqref="C4:G50">
    <cfRule type="cellIs" dxfId="6" priority="7" operator="equal">
      <formula>"N/A"</formula>
    </cfRule>
    <cfRule type="cellIs" dxfId="5" priority="8" operator="equal">
      <formula>"PASS"</formula>
    </cfRule>
    <cfRule type="cellIs" dxfId="4" priority="9" operator="equal">
      <formula>"FAIL"</formula>
    </cfRule>
  </conditionalFormatting>
  <conditionalFormatting sqref="F4:F50">
    <cfRule type="cellIs" dxfId="3" priority="4" operator="equal">
      <formula>"N/A"</formula>
    </cfRule>
    <cfRule type="cellIs" dxfId="2" priority="5" operator="equal">
      <formula>"PASS"</formula>
    </cfRule>
    <cfRule type="cellIs" dxfId="1" priority="6" operator="equal">
      <formula>"FAIL"</formula>
    </cfRule>
  </conditionalFormatting>
  <dataValidations count="2">
    <dataValidation type="list" allowBlank="1" showInputMessage="1" showErrorMessage="1" sqref="C4:C50" xr:uid="{00FB2C47-2D5F-4D7E-B4B5-85E30C875AF6}">
      <formula1>"N/A,DT.GEC-1.DN-1,DT.GEC-1.DN-2,DT.GEC-1.DN-3,DT.GEC-1.DN-4,DT.GEC-1.DN-5"</formula1>
    </dataValidation>
    <dataValidation type="list" allowBlank="1" showInputMessage="1" showErrorMessage="1" sqref="B4:C50" xr:uid="{05BE36BE-DEA0-44C8-A40B-AEA2AFC4FD15}">
      <formula1>"Software,Hardware"</formula1>
    </dataValidation>
  </dataValidations>
  <pageMargins left="0.7" right="0.7" top="0.75" bottom="0.75" header="0.3" footer="0.3"/>
  <ignoredErrors>
    <ignoredError sqref="D4:D50" calculatedColumn="1"/>
  </ignoredErrors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79BAA-3197-429A-B619-A35412D4A619}">
  <sheetPr>
    <tabColor theme="2"/>
    <pageSetUpPr autoPageBreaks="0"/>
  </sheetPr>
  <dimension ref="A1:R50"/>
  <sheetViews>
    <sheetView zoomScaleNormal="100" workbookViewId="0"/>
  </sheetViews>
  <sheetFormatPr defaultColWidth="16" defaultRowHeight="16.5" x14ac:dyDescent="0.3"/>
  <cols>
    <col min="1" max="1" width="22.5" style="15" bestFit="1" customWidth="1"/>
    <col min="2" max="2" width="42.25" style="15" customWidth="1"/>
    <col min="3" max="3" width="31.25" style="15" customWidth="1"/>
    <col min="4" max="4" width="20.625" style="14" customWidth="1"/>
    <col min="5" max="5" width="20.625" style="15" customWidth="1"/>
    <col min="6" max="6" width="20.625" customWidth="1"/>
    <col min="7" max="7" width="38.625" customWidth="1"/>
    <col min="8" max="8" width="50.875" style="15" customWidth="1"/>
    <col min="9" max="9" width="45.5" style="15" bestFit="1" customWidth="1"/>
    <col min="10" max="10" width="51.25" customWidth="1"/>
    <col min="11" max="11" width="45.5" style="15" bestFit="1" customWidth="1"/>
    <col min="12" max="12" width="45.5" style="15" customWidth="1"/>
    <col min="13" max="13" width="20.625" style="14" customWidth="1"/>
    <col min="14" max="14" width="45.5" style="15" bestFit="1" customWidth="1"/>
    <col min="15" max="15" width="45.5" style="15" customWidth="1"/>
    <col min="16" max="16" width="20.625" style="14" customWidth="1"/>
    <col min="17" max="17" width="43.75" style="15" customWidth="1"/>
    <col min="18" max="18" width="45.5" style="15" customWidth="1"/>
    <col min="19" max="19" width="20.625" style="14" customWidth="1"/>
    <col min="20" max="20" width="26.625" style="14" customWidth="1"/>
    <col min="21" max="22" width="20.625" style="14" customWidth="1"/>
    <col min="23" max="23" width="26.625" style="14" customWidth="1"/>
    <col min="24" max="16384" width="16" style="14"/>
  </cols>
  <sheetData>
    <row r="1" spans="1:18" s="270" customFormat="1" ht="14.25" x14ac:dyDescent="0.25">
      <c r="A1" s="471" t="s">
        <v>404</v>
      </c>
      <c r="B1" s="196" t="s">
        <v>262</v>
      </c>
      <c r="C1" s="196"/>
      <c r="G1" s="196" t="s">
        <v>260</v>
      </c>
      <c r="H1" s="194"/>
      <c r="I1" s="196" t="s">
        <v>99</v>
      </c>
      <c r="J1" s="194"/>
      <c r="K1" s="196" t="s">
        <v>47</v>
      </c>
      <c r="L1" s="196"/>
      <c r="N1" s="196" t="s">
        <v>49</v>
      </c>
      <c r="O1" s="196"/>
      <c r="Q1" s="196" t="s">
        <v>56</v>
      </c>
      <c r="R1" s="196"/>
    </row>
    <row r="2" spans="1:18" s="13" customFormat="1" ht="17.25" x14ac:dyDescent="0.3">
      <c r="A2" s="17" t="s">
        <v>261</v>
      </c>
      <c r="B2" s="135" t="s">
        <v>1</v>
      </c>
      <c r="C2" s="136" t="s">
        <v>254</v>
      </c>
      <c r="D2" s="163" t="s">
        <v>45</v>
      </c>
      <c r="E2" s="164" t="s">
        <v>46</v>
      </c>
      <c r="F2" s="165" t="s">
        <v>256</v>
      </c>
      <c r="G2" s="166" t="s">
        <v>253</v>
      </c>
      <c r="H2" s="135" t="s">
        <v>257</v>
      </c>
      <c r="I2" s="166" t="s">
        <v>258</v>
      </c>
      <c r="J2" s="135" t="s">
        <v>259</v>
      </c>
      <c r="K2" s="166" t="s">
        <v>263</v>
      </c>
      <c r="L2" s="147" t="s">
        <v>264</v>
      </c>
      <c r="M2" s="167" t="s">
        <v>48</v>
      </c>
      <c r="N2" s="135" t="s">
        <v>265</v>
      </c>
      <c r="O2" s="135" t="s">
        <v>266</v>
      </c>
      <c r="P2" s="168" t="s">
        <v>55</v>
      </c>
      <c r="Q2" s="169" t="s">
        <v>267</v>
      </c>
      <c r="R2" s="169" t="s">
        <v>268</v>
      </c>
    </row>
    <row r="3" spans="1:18" s="283" customFormat="1" ht="83.25" thickBot="1" x14ac:dyDescent="0.35">
      <c r="A3" s="286" t="s">
        <v>451</v>
      </c>
      <c r="B3" s="274" t="s">
        <v>405</v>
      </c>
      <c r="C3" s="274" t="s">
        <v>406</v>
      </c>
      <c r="D3" s="303" t="s">
        <v>284</v>
      </c>
      <c r="E3" s="292" t="s">
        <v>284</v>
      </c>
      <c r="F3" s="468" t="s">
        <v>284</v>
      </c>
      <c r="G3" s="278" t="s">
        <v>407</v>
      </c>
      <c r="H3" s="289" t="s">
        <v>408</v>
      </c>
      <c r="I3" s="278" t="s">
        <v>409</v>
      </c>
      <c r="J3" s="289" t="s">
        <v>410</v>
      </c>
      <c r="K3" s="278" t="s">
        <v>411</v>
      </c>
      <c r="L3" s="407" t="s">
        <v>412</v>
      </c>
      <c r="M3" s="323" t="s">
        <v>284</v>
      </c>
      <c r="N3" s="274" t="s">
        <v>413</v>
      </c>
      <c r="O3" s="289" t="s">
        <v>414</v>
      </c>
      <c r="P3" s="469" t="s">
        <v>284</v>
      </c>
      <c r="Q3" s="274" t="s">
        <v>415</v>
      </c>
      <c r="R3" s="470" t="s">
        <v>416</v>
      </c>
    </row>
    <row r="4" spans="1:18" ht="102.75" customHeight="1" x14ac:dyDescent="0.3">
      <c r="A4" s="456" t="str">
        <f>IF(Interfaces!A2&lt;&gt;"", Interfaces!A2, "")</f>
        <v/>
      </c>
      <c r="B4" s="389" t="str" cm="1">
        <f t="array" ref="B4">IF($A4&lt;&gt;"",
  IF(Interfaces!C2="Network",
    _xlfn.TEXTJOIN(", "&amp;CHAR(10), TRUE,
     IF(AND(Interfaces!L2&lt;&gt;"", EInfo_GEC2_7[[#This Row],[E.Info.DT.GEC-2]]&lt;&gt;"N/A", EInfo_GEC2_7[[#This Row],[E.Info.DT.GEC-2]]&lt;&gt;""), "E.Info.GEC-2." &amp; _xlfn.TEXTSPLIT(Interfaces!L2,, ", "&amp;CHAR(10))&amp;"Asset", ""),
     IF(AND(Interfaces!L2&lt;&gt;"", EInfo_GEC2_7[[#This Row],[E.Info.DT.GEC-3]]&lt;&gt;"N/A", EInfo_GEC2_7[[#This Row],[E.Info.DT.GEC-3]]&lt;&gt;""), "E.Info.GEC-3." &amp; _xlfn.TEXTSPLIT(Interfaces!L2,, ", "&amp;CHAR(10))&amp;"Asset", ""),
     IF(AND(EInfo_GEC2_7[[#This Row],[E.Info.DT.GEC-6]]&lt;&gt;"N/A", EInfo_GEC2_7[[#This Row],[E.Info.DT.GEC-6]]&lt;&gt;""), "E.Info.GEC-6." &amp; _xlfn.TEXTSPLIT(Interfaces!L2,, ", "&amp;CHAR(10))&amp;"Asset", "")
), "N/A"), "")</f>
        <v/>
      </c>
      <c r="C4" s="110" t="str">
        <f>Interfaces!F2</f>
        <v/>
      </c>
      <c r="D4" s="108"/>
      <c r="E4" s="457"/>
      <c r="F4" s="458"/>
      <c r="G4" s="466" t="str">
        <f>IFERROR(IF($A4&lt;&gt;"",
    _xlfn.TEXTJOIN(", "&amp;CHAR(10), TRUE,
      IF(AND(Interfaces!C2="Network",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IF(AND(Interfaces!C2="Network", EInfo_GEC2_7[[#This Row],[E.Info.DT.GEC-3]]&lt;&gt;"", EInfo_GEC2_7[[#This Row],[E.Info.DT.GEC-3]]&lt;&gt;"N/A"), "E.Info.GEC-3.NetworkInterface.Exposure", ""),
      IF(AND(Interfaces!C2="Network",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4" s="149"/>
      <c r="I4" s="472" t="str">
        <f>IF($A4&lt;&gt;"",
      IF(AND(Interfaces!C2="Network", EInfo_GEC2_7[[#This Row],[E.Info.DT.GEC-4]]&lt;&gt;"", EInfo_GEC2_7[[#This Row],[E.Info.DT.GEC-4]]&lt;&gt;"N/A"), "E.Info.GEC-4.UserDoc.NetworkInterface.Exposure", ""),
      "")</f>
        <v/>
      </c>
      <c r="J4" s="149"/>
      <c r="K4" s="466" t="str">
        <f>IF($A4&lt;&gt;"",
      IF(Interfaces!G2&lt;&gt;"", IF(Interfaces!G2="Yes", _xlfn.TEXTJOIN(", "&amp;CHAR(10), TRUE, "E.Info.GEC-5.PhysicalExternalInterface", "E.Info.GEC-5.PhysicalExternalInterface.Purpose", "E.Info.GEC-5.PhysicalExternalInterface.Type", "E.Info.GEC-5.IntFunc"), "N/A"), ""),
"")</f>
        <v/>
      </c>
      <c r="L4" s="150"/>
      <c r="M4" s="119"/>
      <c r="N4" s="389" t="str">
        <f>IF($A4&lt;&gt;"",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4" s="149"/>
      <c r="P4" s="460"/>
      <c r="Q4" s="389" t="str">
        <f>IF($A4&lt;&gt;"",
        IF(EInfo_GEC2_7[[#This Row],[E.Info.DT.GEC-7]]&lt;&gt;"",
         IF(AND(EInfo_GEC2_7[[#This Row],[E.Info.DT.GEC-7]]&lt;&gt;"N/A", Interfaces!H2="Yes"),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4" s="149"/>
    </row>
    <row r="5" spans="1:18" ht="114.75" customHeight="1" x14ac:dyDescent="0.3">
      <c r="A5" s="125" t="str">
        <f>IF(Interfaces!A3&lt;&gt;"", Interfaces!A3, "")</f>
        <v/>
      </c>
      <c r="B5" s="389" t="str" cm="1">
        <f t="array" ref="B5">IF($A5&lt;&gt;"",
  IF(Interfaces!C3="Network",
    _xlfn.TEXTJOIN(", "&amp;CHAR(10), TRUE,
     IF(AND(Interfaces!L3&lt;&gt;"", EInfo_GEC2_7[[#This Row],[E.Info.DT.GEC-2]]&lt;&gt;"N/A", EInfo_GEC2_7[[#This Row],[E.Info.DT.GEC-2]]&lt;&gt;""), "E.Info.GEC-2." &amp; _xlfn.TEXTSPLIT(Interfaces!L3,, ", "&amp;CHAR(10))&amp;"Asset", ""),
     IF(AND(Interfaces!L3&lt;&gt;"", EInfo_GEC2_7[[#This Row],[E.Info.DT.GEC-3]]&lt;&gt;"N/A", EInfo_GEC2_7[[#This Row],[E.Info.DT.GEC-3]]&lt;&gt;""), "E.Info.GEC-3." &amp; _xlfn.TEXTSPLIT(Interfaces!L3,, ", "&amp;CHAR(10))&amp;"Asset", ""),
     IF(AND(EInfo_GEC2_7[[#This Row],[E.Info.DT.GEC-6]]&lt;&gt;"N/A", EInfo_GEC2_7[[#This Row],[E.Info.DT.GEC-6]]&lt;&gt;""), "E.Info.GEC-6." &amp; _xlfn.TEXTSPLIT(Interfaces!L3,, ", "&amp;CHAR(10))&amp;"Asset", "")
), "N/A"), "")</f>
        <v/>
      </c>
      <c r="C5" s="110" t="str">
        <f>Interfaces!F3</f>
        <v/>
      </c>
      <c r="D5" s="114"/>
      <c r="E5" s="461"/>
      <c r="F5" s="462"/>
      <c r="G5" s="466" t="str">
        <f>IFERROR(IF($A5&lt;&gt;"",
    _xlfn.TEXTJOIN(", "&amp;CHAR(10), TRUE,
      IF(AND(Interfaces!C3="Network",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IF(AND(Interfaces!C3="Network", EInfo_GEC2_7[[#This Row],[E.Info.DT.GEC-3]]&lt;&gt;"", EInfo_GEC2_7[[#This Row],[E.Info.DT.GEC-3]]&lt;&gt;"N/A"), "E.Info.GEC-3.NetworkInterface.Exposure", ""),
      IF(AND(Interfaces!C3="Network",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5" s="45"/>
      <c r="I5" s="472" t="str">
        <f>IF($A5&lt;&gt;"",
      IF(AND(Interfaces!C3="Network", EInfo_GEC2_7[[#This Row],[E.Info.DT.GEC-4]]&lt;&gt;"", EInfo_GEC2_7[[#This Row],[E.Info.DT.GEC-4]]&lt;&gt;"N/A"), "E.Info.GEC-4.UserDoc.NetworkInterface.Exposure", ""),
      "")</f>
        <v/>
      </c>
      <c r="J5" s="45"/>
      <c r="K5" s="466" t="str">
        <f>IF($A5&lt;&gt;"",
      IF(Interfaces!G3&lt;&gt;"", IF(Interfaces!G3="Yes", _xlfn.TEXTJOIN(", "&amp;CHAR(10), TRUE, "E.Info.GEC-5.PhysicalExternalInterface", "E.Info.GEC-5.PhysicalExternalInterface.Purpose", "E.Info.GEC-5.PhysicalExternalInterface.Type", "E.Info.GEC-5.IntFunc"), "N/A"), ""),
"")</f>
        <v/>
      </c>
      <c r="L5" s="150"/>
      <c r="M5" s="120"/>
      <c r="N5" s="389" t="str">
        <f>IF($A5&lt;&gt;"",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5" s="149"/>
      <c r="P5" s="460"/>
      <c r="Q5" s="389" t="str">
        <f>IF($A5&lt;&gt;"",
        IF(EInfo_GEC2_7[[#This Row],[E.Info.DT.GEC-7]]&lt;&gt;"",
         IF(AND(EInfo_GEC2_7[[#This Row],[E.Info.DT.GEC-7]]&lt;&gt;"N/A", Interfaces!H3="Yes"),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5" s="149"/>
    </row>
    <row r="6" spans="1:18" ht="87.75" customHeight="1" x14ac:dyDescent="0.3">
      <c r="A6" s="125" t="str">
        <f>IF(Interfaces!A4&lt;&gt;"", Interfaces!A4, "")</f>
        <v/>
      </c>
      <c r="B6" s="389" t="str" cm="1">
        <f t="array" ref="B6">IF($A6&lt;&gt;"",
  IF(Interfaces!C4="Network",
    _xlfn.TEXTJOIN(", "&amp;CHAR(10), TRUE,
     IF(AND(Interfaces!L4&lt;&gt;"", EInfo_GEC2_7[[#This Row],[E.Info.DT.GEC-2]]&lt;&gt;"N/A", EInfo_GEC2_7[[#This Row],[E.Info.DT.GEC-2]]&lt;&gt;""), "E.Info.GEC-2." &amp; _xlfn.TEXTSPLIT(Interfaces!L4,, ", "&amp;CHAR(10))&amp;"Asset", ""),
     IF(AND(Interfaces!L4&lt;&gt;"", EInfo_GEC2_7[[#This Row],[E.Info.DT.GEC-3]]&lt;&gt;"N/A", EInfo_GEC2_7[[#This Row],[E.Info.DT.GEC-3]]&lt;&gt;""), "E.Info.GEC-3." &amp; _xlfn.TEXTSPLIT(Interfaces!L4,, ", "&amp;CHAR(10))&amp;"Asset", ""),
     IF(AND(EInfo_GEC2_7[[#This Row],[E.Info.DT.GEC-6]]&lt;&gt;"N/A", EInfo_GEC2_7[[#This Row],[E.Info.DT.GEC-6]]&lt;&gt;""), "E.Info.GEC-6." &amp; _xlfn.TEXTSPLIT(Interfaces!L4,, ", "&amp;CHAR(10))&amp;"Asset", "")
), "N/A"), "")</f>
        <v/>
      </c>
      <c r="C6" s="110" t="str">
        <f>Interfaces!F4</f>
        <v/>
      </c>
      <c r="D6" s="114"/>
      <c r="E6" s="461"/>
      <c r="F6" s="462"/>
      <c r="G6" s="466" t="str">
        <f>IFERROR(IF($A6&lt;&gt;"",
    _xlfn.TEXTJOIN(", "&amp;CHAR(10), TRUE,
      IF(AND(Interfaces!C4="Network",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IF(AND(Interfaces!C4="Network", EInfo_GEC2_7[[#This Row],[E.Info.DT.GEC-3]]&lt;&gt;"", EInfo_GEC2_7[[#This Row],[E.Info.DT.GEC-3]]&lt;&gt;"N/A"), "E.Info.GEC-3.NetworkInterface.Exposure", ""),
      IF(AND(Interfaces!C4="Network",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6" s="45"/>
      <c r="I6" s="472" t="str">
        <f>IF($A6&lt;&gt;"",
      IF(AND(Interfaces!C4="Network", EInfo_GEC2_7[[#This Row],[E.Info.DT.GEC-4]]&lt;&gt;"", EInfo_GEC2_7[[#This Row],[E.Info.DT.GEC-4]]&lt;&gt;"N/A"), "E.Info.GEC-4.UserDoc.NetworkInterface.Exposure", ""),
      "")</f>
        <v/>
      </c>
      <c r="J6" s="45"/>
      <c r="K6" s="466" t="str">
        <f>IF($A6&lt;&gt;"",
      IF(Interfaces!G4&lt;&gt;"", IF(Interfaces!G4="Yes", _xlfn.TEXTJOIN(", "&amp;CHAR(10), TRUE, "E.Info.GEC-5.PhysicalExternalInterface", "E.Info.GEC-5.PhysicalExternalInterface.Purpose", "E.Info.GEC-5.PhysicalExternalInterface.Type", "E.Info.GEC-5.IntFunc"), "N/A"), ""),
"")</f>
        <v/>
      </c>
      <c r="L6" s="150"/>
      <c r="M6" s="120"/>
      <c r="N6" s="389" t="str">
        <f>IF($A6&lt;&gt;"",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6" s="149"/>
      <c r="P6" s="460"/>
      <c r="Q6" s="389" t="str">
        <f>IF($A6&lt;&gt;"",
        IF(EInfo_GEC2_7[[#This Row],[E.Info.DT.GEC-7]]&lt;&gt;"",
         IF(AND(EInfo_GEC2_7[[#This Row],[E.Info.DT.GEC-7]]&lt;&gt;"N/A", Interfaces!H4="Yes"),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6" s="149"/>
    </row>
    <row r="7" spans="1:18" ht="46.5" customHeight="1" x14ac:dyDescent="0.3">
      <c r="A7" s="125" t="str">
        <f>IF(Interfaces!A5&lt;&gt;"", Interfaces!A5, "")</f>
        <v/>
      </c>
      <c r="B7" s="389" t="str" cm="1">
        <f t="array" ref="B7">IF($A7&lt;&gt;"",
  IF(Interfaces!C5="Network",
    _xlfn.TEXTJOIN(", "&amp;CHAR(10), TRUE,
     IF(AND(Interfaces!L5&lt;&gt;"", EInfo_GEC2_7[[#This Row],[E.Info.DT.GEC-2]]&lt;&gt;"N/A", EInfo_GEC2_7[[#This Row],[E.Info.DT.GEC-2]]&lt;&gt;""), "E.Info.GEC-2." &amp; _xlfn.TEXTSPLIT(Interfaces!L5,, ", "&amp;CHAR(10))&amp;"Asset", ""),
     IF(AND(Interfaces!L5&lt;&gt;"", EInfo_GEC2_7[[#This Row],[E.Info.DT.GEC-3]]&lt;&gt;"N/A", EInfo_GEC2_7[[#This Row],[E.Info.DT.GEC-3]]&lt;&gt;""), "E.Info.GEC-3." &amp; _xlfn.TEXTSPLIT(Interfaces!L5,, ", "&amp;CHAR(10))&amp;"Asset", ""),
     IF(AND(EInfo_GEC2_7[[#This Row],[E.Info.DT.GEC-6]]&lt;&gt;"N/A", EInfo_GEC2_7[[#This Row],[E.Info.DT.GEC-6]]&lt;&gt;""), "E.Info.GEC-6." &amp; _xlfn.TEXTSPLIT(Interfaces!L5,, ", "&amp;CHAR(10))&amp;"Asset", "")
), "N/A"), "")</f>
        <v/>
      </c>
      <c r="C7" s="110" t="str">
        <f>Interfaces!F5</f>
        <v/>
      </c>
      <c r="D7" s="114"/>
      <c r="E7" s="461"/>
      <c r="F7" s="462"/>
      <c r="G7" s="466" t="str">
        <f>IFERROR(IF($A7&lt;&gt;"",
    _xlfn.TEXTJOIN(", "&amp;CHAR(10), TRUE,
      IF(AND(Interfaces!C5="Network",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IF(AND(Interfaces!C5="Network", EInfo_GEC2_7[[#This Row],[E.Info.DT.GEC-3]]&lt;&gt;"", EInfo_GEC2_7[[#This Row],[E.Info.DT.GEC-3]]&lt;&gt;"N/A"), "E.Info.GEC-3.NetworkInterface.Exposure", ""),
      IF(AND(Interfaces!C5="Network",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7" s="45"/>
      <c r="I7" s="472" t="str">
        <f>IF($A7&lt;&gt;"",
      IF(AND(Interfaces!C5="Network", EInfo_GEC2_7[[#This Row],[E.Info.DT.GEC-4]]&lt;&gt;"", EInfo_GEC2_7[[#This Row],[E.Info.DT.GEC-4]]&lt;&gt;"N/A"), "E.Info.GEC-4.UserDoc.NetworkInterface.Exposure", ""),
      "")</f>
        <v/>
      </c>
      <c r="J7" s="45"/>
      <c r="K7" s="466" t="str">
        <f>IF($A7&lt;&gt;"",
      IF(Interfaces!G5&lt;&gt;"", IF(Interfaces!G5="Yes", _xlfn.TEXTJOIN(", "&amp;CHAR(10), TRUE, "E.Info.GEC-5.PhysicalExternalInterface", "E.Info.GEC-5.PhysicalExternalInterface.Purpose", "E.Info.GEC-5.PhysicalExternalInterface.Type", "E.Info.GEC-5.IntFunc"), "N/A"), ""),
"")</f>
        <v/>
      </c>
      <c r="L7" s="150"/>
      <c r="M7" s="120"/>
      <c r="N7" s="389" t="str">
        <f>IF($A7&lt;&gt;"",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7" s="149"/>
      <c r="P7" s="460"/>
      <c r="Q7" s="389" t="str">
        <f>IF($A7&lt;&gt;"",
        IF(EInfo_GEC2_7[[#This Row],[E.Info.DT.GEC-7]]&lt;&gt;"",
         IF(AND(EInfo_GEC2_7[[#This Row],[E.Info.DT.GEC-7]]&lt;&gt;"N/A", Interfaces!H5="Yes"),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7" s="149"/>
    </row>
    <row r="8" spans="1:18" x14ac:dyDescent="0.3">
      <c r="A8" s="125" t="str">
        <f>IF(Interfaces!A6&lt;&gt;"", Interfaces!A6, "")</f>
        <v/>
      </c>
      <c r="B8" s="389" t="str" cm="1">
        <f t="array" ref="B8">IF($A8&lt;&gt;"",
  IF(Interfaces!C6="Network",
    _xlfn.TEXTJOIN(", "&amp;CHAR(10), TRUE,
     IF(AND(Interfaces!L6&lt;&gt;"", EInfo_GEC2_7[[#This Row],[E.Info.DT.GEC-2]]&lt;&gt;"N/A", EInfo_GEC2_7[[#This Row],[E.Info.DT.GEC-2]]&lt;&gt;""), "E.Info.GEC-2." &amp; _xlfn.TEXTSPLIT(Interfaces!L6,, ", "&amp;CHAR(10))&amp;"Asset", ""),
     IF(AND(Interfaces!L6&lt;&gt;"", EInfo_GEC2_7[[#This Row],[E.Info.DT.GEC-3]]&lt;&gt;"N/A", EInfo_GEC2_7[[#This Row],[E.Info.DT.GEC-3]]&lt;&gt;""), "E.Info.GEC-3." &amp; _xlfn.TEXTSPLIT(Interfaces!L6,, ", "&amp;CHAR(10))&amp;"Asset", ""),
     IF(AND(EInfo_GEC2_7[[#This Row],[E.Info.DT.GEC-6]]&lt;&gt;"N/A", EInfo_GEC2_7[[#This Row],[E.Info.DT.GEC-6]]&lt;&gt;""), "E.Info.GEC-6." &amp; _xlfn.TEXTSPLIT(Interfaces!L6,, ", "&amp;CHAR(10))&amp;"Asset", "")
), "N/A"), "")</f>
        <v/>
      </c>
      <c r="C8" s="110" t="str">
        <f>Interfaces!F6</f>
        <v/>
      </c>
      <c r="D8" s="114"/>
      <c r="E8" s="461"/>
      <c r="F8" s="462"/>
      <c r="G8" s="466" t="str">
        <f>IFERROR(IF($A8&lt;&gt;"",
    _xlfn.TEXTJOIN(", "&amp;CHAR(10), TRUE,
      IF(AND(Interfaces!C6="Network",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IF(AND(Interfaces!C6="Network", EInfo_GEC2_7[[#This Row],[E.Info.DT.GEC-3]]&lt;&gt;"", EInfo_GEC2_7[[#This Row],[E.Info.DT.GEC-3]]&lt;&gt;"N/A"), "E.Info.GEC-3.NetworkInterface.Exposure", ""),
      IF(AND(Interfaces!C6="Network",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8" s="45"/>
      <c r="I8" s="472" t="str">
        <f>IF($A8&lt;&gt;"",
      IF(AND(Interfaces!C6="Network", EInfo_GEC2_7[[#This Row],[E.Info.DT.GEC-4]]&lt;&gt;"", EInfo_GEC2_7[[#This Row],[E.Info.DT.GEC-4]]&lt;&gt;"N/A"), "E.Info.GEC-4.UserDoc.NetworkInterface.Exposure", ""),
      "")</f>
        <v/>
      </c>
      <c r="J8" s="45"/>
      <c r="K8" s="466" t="str">
        <f>IF($A8&lt;&gt;"",
      IF(Interfaces!G6&lt;&gt;"", IF(Interfaces!G6="Yes", _xlfn.TEXTJOIN(", "&amp;CHAR(10), TRUE, "E.Info.GEC-5.PhysicalExternalInterface", "E.Info.GEC-5.PhysicalExternalInterface.Purpose", "E.Info.GEC-5.PhysicalExternalInterface.Type", "E.Info.GEC-5.IntFunc"), "N/A"), ""),
"")</f>
        <v/>
      </c>
      <c r="L8" s="150"/>
      <c r="M8" s="120"/>
      <c r="N8" s="389" t="str">
        <f>IF($A8&lt;&gt;"",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8" s="149"/>
      <c r="P8" s="460"/>
      <c r="Q8" s="389" t="str">
        <f>IF($A8&lt;&gt;"",
        IF(EInfo_GEC2_7[[#This Row],[E.Info.DT.GEC-7]]&lt;&gt;"",
         IF(AND(EInfo_GEC2_7[[#This Row],[E.Info.DT.GEC-7]]&lt;&gt;"N/A", Interfaces!H6="Yes"),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8" s="149"/>
    </row>
    <row r="9" spans="1:18" x14ac:dyDescent="0.3">
      <c r="A9" s="125" t="str">
        <f>IF(Interfaces!A7&lt;&gt;"", Interfaces!A7, "")</f>
        <v/>
      </c>
      <c r="B9" s="389" t="str" cm="1">
        <f t="array" ref="B9">IF($A9&lt;&gt;"",
  IF(Interfaces!C7="Network",
    _xlfn.TEXTJOIN(", "&amp;CHAR(10), TRUE,
     IF(AND(Interfaces!L7&lt;&gt;"", EInfo_GEC2_7[[#This Row],[E.Info.DT.GEC-2]]&lt;&gt;"N/A", EInfo_GEC2_7[[#This Row],[E.Info.DT.GEC-2]]&lt;&gt;""), "E.Info.GEC-2." &amp; _xlfn.TEXTSPLIT(Interfaces!L7,, ", "&amp;CHAR(10))&amp;"Asset", ""),
     IF(AND(Interfaces!L7&lt;&gt;"", EInfo_GEC2_7[[#This Row],[E.Info.DT.GEC-3]]&lt;&gt;"N/A", EInfo_GEC2_7[[#This Row],[E.Info.DT.GEC-3]]&lt;&gt;""), "E.Info.GEC-3." &amp; _xlfn.TEXTSPLIT(Interfaces!L7,, ", "&amp;CHAR(10))&amp;"Asset", ""),
     IF(AND(EInfo_GEC2_7[[#This Row],[E.Info.DT.GEC-6]]&lt;&gt;"N/A", EInfo_GEC2_7[[#This Row],[E.Info.DT.GEC-6]]&lt;&gt;""), "E.Info.GEC-6." &amp; _xlfn.TEXTSPLIT(Interfaces!L7,, ", "&amp;CHAR(10))&amp;"Asset", "")
), "N/A"), "")</f>
        <v/>
      </c>
      <c r="C9" s="110" t="str">
        <f>Interfaces!F7</f>
        <v/>
      </c>
      <c r="D9" s="114"/>
      <c r="E9" s="461"/>
      <c r="F9" s="462"/>
      <c r="G9" s="466" t="str">
        <f>IFERROR(IF($A9&lt;&gt;"",
    _xlfn.TEXTJOIN(", "&amp;CHAR(10), TRUE,
      IF(AND(Interfaces!C7="Network",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IF(AND(Interfaces!C7="Network", EInfo_GEC2_7[[#This Row],[E.Info.DT.GEC-3]]&lt;&gt;"", EInfo_GEC2_7[[#This Row],[E.Info.DT.GEC-3]]&lt;&gt;"N/A"), "E.Info.GEC-3.NetworkInterface.Exposure", ""),
      IF(AND(Interfaces!C7="Network",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9" s="45"/>
      <c r="I9" s="472" t="str">
        <f>IF($A9&lt;&gt;"",
      IF(AND(Interfaces!C7="Network", EInfo_GEC2_7[[#This Row],[E.Info.DT.GEC-4]]&lt;&gt;"", EInfo_GEC2_7[[#This Row],[E.Info.DT.GEC-4]]&lt;&gt;"N/A"), "E.Info.GEC-4.UserDoc.NetworkInterface.Exposure", ""),
      "")</f>
        <v/>
      </c>
      <c r="J9" s="45"/>
      <c r="K9" s="466" t="str">
        <f>IF($A9&lt;&gt;"",
      IF(Interfaces!G7&lt;&gt;"", IF(Interfaces!G7="Yes", _xlfn.TEXTJOIN(", "&amp;CHAR(10), TRUE, "E.Info.GEC-5.PhysicalExternalInterface", "E.Info.GEC-5.PhysicalExternalInterface.Purpose", "E.Info.GEC-5.PhysicalExternalInterface.Type", "E.Info.GEC-5.IntFunc"), "N/A"), ""),
"")</f>
        <v/>
      </c>
      <c r="L9" s="150"/>
      <c r="M9" s="120"/>
      <c r="N9" s="389" t="str">
        <f>IF($A9&lt;&gt;"",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9" s="149"/>
      <c r="P9" s="460"/>
      <c r="Q9" s="389" t="str">
        <f>IF($A9&lt;&gt;"",
        IF(EInfo_GEC2_7[[#This Row],[E.Info.DT.GEC-7]]&lt;&gt;"",
         IF(AND(EInfo_GEC2_7[[#This Row],[E.Info.DT.GEC-7]]&lt;&gt;"N/A", Interfaces!H7="Yes"),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9" s="149"/>
    </row>
    <row r="10" spans="1:18" x14ac:dyDescent="0.3">
      <c r="A10" s="125" t="str">
        <f>IF(Interfaces!A8&lt;&gt;"", Interfaces!A8, "")</f>
        <v/>
      </c>
      <c r="B10" s="389" t="str" cm="1">
        <f t="array" ref="B10">IF($A10&lt;&gt;"",
  IF(Interfaces!C8="Network",
    _xlfn.TEXTJOIN(", "&amp;CHAR(10), TRUE,
     IF(AND(Interfaces!L8&lt;&gt;"", EInfo_GEC2_7[[#This Row],[E.Info.DT.GEC-2]]&lt;&gt;"N/A", EInfo_GEC2_7[[#This Row],[E.Info.DT.GEC-2]]&lt;&gt;""), "E.Info.GEC-2." &amp; _xlfn.TEXTSPLIT(Interfaces!L8,, ", "&amp;CHAR(10))&amp;"Asset", ""),
     IF(AND(Interfaces!L8&lt;&gt;"", EInfo_GEC2_7[[#This Row],[E.Info.DT.GEC-3]]&lt;&gt;"N/A", EInfo_GEC2_7[[#This Row],[E.Info.DT.GEC-3]]&lt;&gt;""), "E.Info.GEC-3." &amp; _xlfn.TEXTSPLIT(Interfaces!L8,, ", "&amp;CHAR(10))&amp;"Asset", ""),
     IF(AND(EInfo_GEC2_7[[#This Row],[E.Info.DT.GEC-6]]&lt;&gt;"N/A", EInfo_GEC2_7[[#This Row],[E.Info.DT.GEC-6]]&lt;&gt;""), "E.Info.GEC-6." &amp; _xlfn.TEXTSPLIT(Interfaces!L8,, ", "&amp;CHAR(10))&amp;"Asset", "")
), "N/A"), "")</f>
        <v/>
      </c>
      <c r="C10" s="110" t="str">
        <f>Interfaces!F8</f>
        <v/>
      </c>
      <c r="D10" s="114"/>
      <c r="E10" s="461"/>
      <c r="F10" s="462"/>
      <c r="G10" s="466" t="str">
        <f>IFERROR(IF($A10&lt;&gt;"",
    _xlfn.TEXTJOIN(", "&amp;CHAR(10), TRUE,
      IF(AND(Interfaces!C8="Network",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IF(AND(Interfaces!C8="Network", EInfo_GEC2_7[[#This Row],[E.Info.DT.GEC-3]]&lt;&gt;"", EInfo_GEC2_7[[#This Row],[E.Info.DT.GEC-3]]&lt;&gt;"N/A"), "E.Info.GEC-3.NetworkInterface.Exposure", ""),
      IF(AND(Interfaces!C8="Network",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10" s="45"/>
      <c r="I10" s="472" t="str">
        <f>IF($A10&lt;&gt;"",
      IF(AND(Interfaces!C8="Network", EInfo_GEC2_7[[#This Row],[E.Info.DT.GEC-4]]&lt;&gt;"", EInfo_GEC2_7[[#This Row],[E.Info.DT.GEC-4]]&lt;&gt;"N/A"), "E.Info.GEC-4.UserDoc.NetworkInterface.Exposure", ""),
      "")</f>
        <v/>
      </c>
      <c r="J10" s="45"/>
      <c r="K10" s="466" t="str">
        <f>IF($A10&lt;&gt;"",
      IF(Interfaces!G8&lt;&gt;"", IF(Interfaces!G8="Yes", _xlfn.TEXTJOIN(", "&amp;CHAR(10), TRUE, "E.Info.GEC-5.PhysicalExternalInterface", "E.Info.GEC-5.PhysicalExternalInterface.Purpose", "E.Info.GEC-5.PhysicalExternalInterface.Type", "E.Info.GEC-5.IntFunc"), "N/A"), ""),
"")</f>
        <v/>
      </c>
      <c r="L10" s="150"/>
      <c r="M10" s="120"/>
      <c r="N10" s="389" t="str">
        <f>IF($A10&lt;&gt;"",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10" s="149"/>
      <c r="P10" s="460"/>
      <c r="Q10" s="389" t="str">
        <f>IF($A10&lt;&gt;"",
        IF(EInfo_GEC2_7[[#This Row],[E.Info.DT.GEC-7]]&lt;&gt;"",
         IF(AND(EInfo_GEC2_7[[#This Row],[E.Info.DT.GEC-7]]&lt;&gt;"N/A", Interfaces!H8="Yes"),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10" s="149"/>
    </row>
    <row r="11" spans="1:18" x14ac:dyDescent="0.3">
      <c r="A11" s="125" t="str">
        <f>IF(Interfaces!A9&lt;&gt;"", Interfaces!A9, "")</f>
        <v/>
      </c>
      <c r="B11" s="389" t="str" cm="1">
        <f t="array" ref="B11">IF($A11&lt;&gt;"",
  IF(Interfaces!C9="Network",
    _xlfn.TEXTJOIN(", "&amp;CHAR(10), TRUE,
     IF(AND(Interfaces!L9&lt;&gt;"", EInfo_GEC2_7[[#This Row],[E.Info.DT.GEC-2]]&lt;&gt;"N/A", EInfo_GEC2_7[[#This Row],[E.Info.DT.GEC-2]]&lt;&gt;""), "E.Info.GEC-2." &amp; _xlfn.TEXTSPLIT(Interfaces!L9,, ", "&amp;CHAR(10))&amp;"Asset", ""),
     IF(AND(Interfaces!L9&lt;&gt;"", EInfo_GEC2_7[[#This Row],[E.Info.DT.GEC-3]]&lt;&gt;"N/A", EInfo_GEC2_7[[#This Row],[E.Info.DT.GEC-3]]&lt;&gt;""), "E.Info.GEC-3." &amp; _xlfn.TEXTSPLIT(Interfaces!L9,, ", "&amp;CHAR(10))&amp;"Asset", ""),
     IF(AND(EInfo_GEC2_7[[#This Row],[E.Info.DT.GEC-6]]&lt;&gt;"N/A", EInfo_GEC2_7[[#This Row],[E.Info.DT.GEC-6]]&lt;&gt;""), "E.Info.GEC-6." &amp; _xlfn.TEXTSPLIT(Interfaces!L9,, ", "&amp;CHAR(10))&amp;"Asset", "")
), "N/A"), "")</f>
        <v/>
      </c>
      <c r="C11" s="110" t="str">
        <f>Interfaces!F9</f>
        <v/>
      </c>
      <c r="D11" s="114"/>
      <c r="E11" s="461"/>
      <c r="F11" s="462"/>
      <c r="G11" s="466" t="str">
        <f>IFERROR(IF($A11&lt;&gt;"",
    _xlfn.TEXTJOIN(", "&amp;CHAR(10), TRUE,
      IF(AND(Interfaces!C9="Network",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IF(AND(Interfaces!C9="Network", EInfo_GEC2_7[[#This Row],[E.Info.DT.GEC-3]]&lt;&gt;"", EInfo_GEC2_7[[#This Row],[E.Info.DT.GEC-3]]&lt;&gt;"N/A"), "E.Info.GEC-3.NetworkInterface.Exposure", ""),
      IF(AND(Interfaces!C9="Network",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11" s="45"/>
      <c r="I11" s="472" t="str">
        <f>IF($A11&lt;&gt;"",
      IF(AND(Interfaces!C9="Network", EInfo_GEC2_7[[#This Row],[E.Info.DT.GEC-4]]&lt;&gt;"", EInfo_GEC2_7[[#This Row],[E.Info.DT.GEC-4]]&lt;&gt;"N/A"), "E.Info.GEC-4.UserDoc.NetworkInterface.Exposure", ""),
      "")</f>
        <v/>
      </c>
      <c r="J11" s="45"/>
      <c r="K11" s="466" t="str">
        <f>IF($A11&lt;&gt;"",
      IF(Interfaces!G9&lt;&gt;"", IF(Interfaces!G9="Yes", _xlfn.TEXTJOIN(", "&amp;CHAR(10), TRUE, "E.Info.GEC-5.PhysicalExternalInterface", "E.Info.GEC-5.PhysicalExternalInterface.Purpose", "E.Info.GEC-5.PhysicalExternalInterface.Type", "E.Info.GEC-5.IntFunc"), "N/A"), ""),
"")</f>
        <v/>
      </c>
      <c r="L11" s="150"/>
      <c r="M11" s="120"/>
      <c r="N11" s="389" t="str">
        <f>IF($A11&lt;&gt;"",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11" s="149"/>
      <c r="P11" s="460"/>
      <c r="Q11" s="389" t="str">
        <f>IF($A11&lt;&gt;"",
        IF(EInfo_GEC2_7[[#This Row],[E.Info.DT.GEC-7]]&lt;&gt;"",
         IF(AND(EInfo_GEC2_7[[#This Row],[E.Info.DT.GEC-7]]&lt;&gt;"N/A", Interfaces!H9="Yes"),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11" s="149"/>
    </row>
    <row r="12" spans="1:18" x14ac:dyDescent="0.3">
      <c r="A12" s="125" t="str">
        <f>IF(Interfaces!A10&lt;&gt;"", Interfaces!A10, "")</f>
        <v/>
      </c>
      <c r="B12" s="389" t="str" cm="1">
        <f t="array" ref="B12">IF($A12&lt;&gt;"",
  IF(Interfaces!C10="Network",
    _xlfn.TEXTJOIN(", "&amp;CHAR(10), TRUE,
     IF(AND(Interfaces!L10&lt;&gt;"", EInfo_GEC2_7[[#This Row],[E.Info.DT.GEC-2]]&lt;&gt;"N/A", EInfo_GEC2_7[[#This Row],[E.Info.DT.GEC-2]]&lt;&gt;""), "E.Info.GEC-2." &amp; _xlfn.TEXTSPLIT(Interfaces!L10,, ", "&amp;CHAR(10))&amp;"Asset", ""),
     IF(AND(Interfaces!L10&lt;&gt;"", EInfo_GEC2_7[[#This Row],[E.Info.DT.GEC-3]]&lt;&gt;"N/A", EInfo_GEC2_7[[#This Row],[E.Info.DT.GEC-3]]&lt;&gt;""), "E.Info.GEC-3." &amp; _xlfn.TEXTSPLIT(Interfaces!L10,, ", "&amp;CHAR(10))&amp;"Asset", ""),
     IF(AND(EInfo_GEC2_7[[#This Row],[E.Info.DT.GEC-6]]&lt;&gt;"N/A", EInfo_GEC2_7[[#This Row],[E.Info.DT.GEC-6]]&lt;&gt;""), "E.Info.GEC-6." &amp; _xlfn.TEXTSPLIT(Interfaces!L10,, ", "&amp;CHAR(10))&amp;"Asset", "")
), "N/A"), "")</f>
        <v/>
      </c>
      <c r="C12" s="110" t="str">
        <f>Interfaces!F10</f>
        <v/>
      </c>
      <c r="D12" s="114"/>
      <c r="E12" s="461"/>
      <c r="F12" s="462"/>
      <c r="G12" s="466" t="str">
        <f>IFERROR(IF($A12&lt;&gt;"",
    _xlfn.TEXTJOIN(", "&amp;CHAR(10), TRUE,
      IF(AND(Interfaces!C10="Network",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IF(AND(Interfaces!C10="Network", EInfo_GEC2_7[[#This Row],[E.Info.DT.GEC-3]]&lt;&gt;"", EInfo_GEC2_7[[#This Row],[E.Info.DT.GEC-3]]&lt;&gt;"N/A"), "E.Info.GEC-3.NetworkInterface.Exposure", ""),
      IF(AND(Interfaces!C10="Network",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12" s="45"/>
      <c r="I12" s="472" t="str">
        <f>IF($A12&lt;&gt;"",
      IF(AND(Interfaces!C10="Network", EInfo_GEC2_7[[#This Row],[E.Info.DT.GEC-4]]&lt;&gt;"", EInfo_GEC2_7[[#This Row],[E.Info.DT.GEC-4]]&lt;&gt;"N/A"), "E.Info.GEC-4.UserDoc.NetworkInterface.Exposure", ""),
      "")</f>
        <v/>
      </c>
      <c r="J12" s="45"/>
      <c r="K12" s="466" t="str">
        <f>IF($A12&lt;&gt;"",
      IF(Interfaces!G10&lt;&gt;"", IF(Interfaces!G10="Yes", _xlfn.TEXTJOIN(", "&amp;CHAR(10), TRUE, "E.Info.GEC-5.PhysicalExternalInterface", "E.Info.GEC-5.PhysicalExternalInterface.Purpose", "E.Info.GEC-5.PhysicalExternalInterface.Type", "E.Info.GEC-5.IntFunc"), "N/A"), ""),
"")</f>
        <v/>
      </c>
      <c r="L12" s="150"/>
      <c r="M12" s="120"/>
      <c r="N12" s="389" t="str">
        <f>IF($A12&lt;&gt;"",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12" s="149"/>
      <c r="P12" s="460"/>
      <c r="Q12" s="389" t="str">
        <f>IF($A12&lt;&gt;"",
        IF(EInfo_GEC2_7[[#This Row],[E.Info.DT.GEC-7]]&lt;&gt;"",
         IF(AND(EInfo_GEC2_7[[#This Row],[E.Info.DT.GEC-7]]&lt;&gt;"N/A", Interfaces!H10="Yes"),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12" s="149"/>
    </row>
    <row r="13" spans="1:18" x14ac:dyDescent="0.3">
      <c r="A13" s="125" t="str">
        <f>IF(Interfaces!A11&lt;&gt;"", Interfaces!A11, "")</f>
        <v/>
      </c>
      <c r="B13" s="389" t="str" cm="1">
        <f t="array" ref="B13">IF($A13&lt;&gt;"",
  IF(Interfaces!C11="Network",
    _xlfn.TEXTJOIN(", "&amp;CHAR(10), TRUE,
     IF(AND(Interfaces!L11&lt;&gt;"", EInfo_GEC2_7[[#This Row],[E.Info.DT.GEC-2]]&lt;&gt;"N/A", EInfo_GEC2_7[[#This Row],[E.Info.DT.GEC-2]]&lt;&gt;""), "E.Info.GEC-2." &amp; _xlfn.TEXTSPLIT(Interfaces!L11,, ", "&amp;CHAR(10))&amp;"Asset", ""),
     IF(AND(Interfaces!L11&lt;&gt;"", EInfo_GEC2_7[[#This Row],[E.Info.DT.GEC-3]]&lt;&gt;"N/A", EInfo_GEC2_7[[#This Row],[E.Info.DT.GEC-3]]&lt;&gt;""), "E.Info.GEC-3." &amp; _xlfn.TEXTSPLIT(Interfaces!L11,, ", "&amp;CHAR(10))&amp;"Asset", ""),
     IF(AND(EInfo_GEC2_7[[#This Row],[E.Info.DT.GEC-6]]&lt;&gt;"N/A", EInfo_GEC2_7[[#This Row],[E.Info.DT.GEC-6]]&lt;&gt;""), "E.Info.GEC-6." &amp; _xlfn.TEXTSPLIT(Interfaces!L11,, ", "&amp;CHAR(10))&amp;"Asset", "")
), "N/A"), "")</f>
        <v/>
      </c>
      <c r="C13" s="110" t="str">
        <f>Interfaces!F11</f>
        <v/>
      </c>
      <c r="D13" s="114"/>
      <c r="E13" s="461"/>
      <c r="F13" s="462"/>
      <c r="G13" s="466" t="str">
        <f>IFERROR(IF($A13&lt;&gt;"",
    _xlfn.TEXTJOIN(", "&amp;CHAR(10), TRUE,
      IF(AND(Interfaces!C11="Network",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IF(AND(Interfaces!C11="Network", EInfo_GEC2_7[[#This Row],[E.Info.DT.GEC-3]]&lt;&gt;"", EInfo_GEC2_7[[#This Row],[E.Info.DT.GEC-3]]&lt;&gt;"N/A"), "E.Info.GEC-3.NetworkInterface.Exposure", ""),
      IF(AND(Interfaces!C11="Network",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13" s="45"/>
      <c r="I13" s="472" t="str">
        <f>IF($A13&lt;&gt;"",
      IF(AND(Interfaces!C11="Network", EInfo_GEC2_7[[#This Row],[E.Info.DT.GEC-4]]&lt;&gt;"", EInfo_GEC2_7[[#This Row],[E.Info.DT.GEC-4]]&lt;&gt;"N/A"), "E.Info.GEC-4.UserDoc.NetworkInterface.Exposure", ""),
      "")</f>
        <v/>
      </c>
      <c r="J13" s="45"/>
      <c r="K13" s="466" t="str">
        <f>IF($A13&lt;&gt;"",
      IF(Interfaces!G11&lt;&gt;"", IF(Interfaces!G11="Yes", _xlfn.TEXTJOIN(", "&amp;CHAR(10), TRUE, "E.Info.GEC-5.PhysicalExternalInterface", "E.Info.GEC-5.PhysicalExternalInterface.Purpose", "E.Info.GEC-5.PhysicalExternalInterface.Type", "E.Info.GEC-5.IntFunc"), "N/A"), ""),
"")</f>
        <v/>
      </c>
      <c r="L13" s="150"/>
      <c r="M13" s="120"/>
      <c r="N13" s="389" t="str">
        <f>IF($A13&lt;&gt;"",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13" s="149"/>
      <c r="P13" s="460"/>
      <c r="Q13" s="389" t="str">
        <f>IF($A13&lt;&gt;"",
        IF(EInfo_GEC2_7[[#This Row],[E.Info.DT.GEC-7]]&lt;&gt;"",
         IF(AND(EInfo_GEC2_7[[#This Row],[E.Info.DT.GEC-7]]&lt;&gt;"N/A", Interfaces!H11="Yes"),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13" s="149"/>
    </row>
    <row r="14" spans="1:18" x14ac:dyDescent="0.3">
      <c r="A14" s="125" t="str">
        <f>IF(Interfaces!A12&lt;&gt;"", Interfaces!A12, "")</f>
        <v/>
      </c>
      <c r="B14" s="389" t="str" cm="1">
        <f t="array" ref="B14">IF($A14&lt;&gt;"",
  IF(Interfaces!C12="Network",
    _xlfn.TEXTJOIN(", "&amp;CHAR(10), TRUE,
     IF(AND(Interfaces!L12&lt;&gt;"", EInfo_GEC2_7[[#This Row],[E.Info.DT.GEC-2]]&lt;&gt;"N/A", EInfo_GEC2_7[[#This Row],[E.Info.DT.GEC-2]]&lt;&gt;""), "E.Info.GEC-2." &amp; _xlfn.TEXTSPLIT(Interfaces!L12,, ", "&amp;CHAR(10))&amp;"Asset", ""),
     IF(AND(Interfaces!L12&lt;&gt;"", EInfo_GEC2_7[[#This Row],[E.Info.DT.GEC-3]]&lt;&gt;"N/A", EInfo_GEC2_7[[#This Row],[E.Info.DT.GEC-3]]&lt;&gt;""), "E.Info.GEC-3." &amp; _xlfn.TEXTSPLIT(Interfaces!L12,, ", "&amp;CHAR(10))&amp;"Asset", ""),
     IF(AND(EInfo_GEC2_7[[#This Row],[E.Info.DT.GEC-6]]&lt;&gt;"N/A", EInfo_GEC2_7[[#This Row],[E.Info.DT.GEC-6]]&lt;&gt;""), "E.Info.GEC-6." &amp; _xlfn.TEXTSPLIT(Interfaces!L12,, ", "&amp;CHAR(10))&amp;"Asset", "")
), "N/A"), "")</f>
        <v/>
      </c>
      <c r="C14" s="110" t="str">
        <f>Interfaces!F12</f>
        <v/>
      </c>
      <c r="D14" s="114"/>
      <c r="E14" s="461"/>
      <c r="F14" s="462"/>
      <c r="G14" s="466" t="str">
        <f>IFERROR(IF($A14&lt;&gt;"",
    _xlfn.TEXTJOIN(", "&amp;CHAR(10), TRUE,
      IF(AND(Interfaces!C12="Network",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IF(AND(Interfaces!C12="Network", EInfo_GEC2_7[[#This Row],[E.Info.DT.GEC-3]]&lt;&gt;"", EInfo_GEC2_7[[#This Row],[E.Info.DT.GEC-3]]&lt;&gt;"N/A"), "E.Info.GEC-3.NetworkInterface.Exposure", ""),
      IF(AND(Interfaces!C12="Network",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14" s="45"/>
      <c r="I14" s="472" t="str">
        <f>IF($A14&lt;&gt;"",
      IF(AND(Interfaces!C12="Network", EInfo_GEC2_7[[#This Row],[E.Info.DT.GEC-4]]&lt;&gt;"", EInfo_GEC2_7[[#This Row],[E.Info.DT.GEC-4]]&lt;&gt;"N/A"), "E.Info.GEC-4.UserDoc.NetworkInterface.Exposure", ""),
      "")</f>
        <v/>
      </c>
      <c r="J14" s="45"/>
      <c r="K14" s="466" t="str">
        <f>IF($A14&lt;&gt;"",
      IF(Interfaces!G12&lt;&gt;"", IF(Interfaces!G12="Yes", _xlfn.TEXTJOIN(", "&amp;CHAR(10), TRUE, "E.Info.GEC-5.PhysicalExternalInterface", "E.Info.GEC-5.PhysicalExternalInterface.Purpose", "E.Info.GEC-5.PhysicalExternalInterface.Type", "E.Info.GEC-5.IntFunc"), "N/A"), ""),
"")</f>
        <v/>
      </c>
      <c r="L14" s="150"/>
      <c r="M14" s="120"/>
      <c r="N14" s="389" t="str">
        <f>IF($A14&lt;&gt;"",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14" s="149"/>
      <c r="P14" s="460"/>
      <c r="Q14" s="389" t="str">
        <f>IF($A14&lt;&gt;"",
        IF(EInfo_GEC2_7[[#This Row],[E.Info.DT.GEC-7]]&lt;&gt;"",
         IF(AND(EInfo_GEC2_7[[#This Row],[E.Info.DT.GEC-7]]&lt;&gt;"N/A", Interfaces!H12="Yes"),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14" s="149"/>
    </row>
    <row r="15" spans="1:18" x14ac:dyDescent="0.3">
      <c r="A15" s="125" t="str">
        <f>IF(Interfaces!A13&lt;&gt;"", Interfaces!A13, "")</f>
        <v/>
      </c>
      <c r="B15" s="389" t="str" cm="1">
        <f t="array" ref="B15">IF($A15&lt;&gt;"",
  IF(Interfaces!C13="Network",
    _xlfn.TEXTJOIN(", "&amp;CHAR(10), TRUE,
     IF(AND(Interfaces!L13&lt;&gt;"", EInfo_GEC2_7[[#This Row],[E.Info.DT.GEC-2]]&lt;&gt;"N/A", EInfo_GEC2_7[[#This Row],[E.Info.DT.GEC-2]]&lt;&gt;""), "E.Info.GEC-2." &amp; _xlfn.TEXTSPLIT(Interfaces!L13,, ", "&amp;CHAR(10))&amp;"Asset", ""),
     IF(AND(Interfaces!L13&lt;&gt;"", EInfo_GEC2_7[[#This Row],[E.Info.DT.GEC-3]]&lt;&gt;"N/A", EInfo_GEC2_7[[#This Row],[E.Info.DT.GEC-3]]&lt;&gt;""), "E.Info.GEC-3." &amp; _xlfn.TEXTSPLIT(Interfaces!L13,, ", "&amp;CHAR(10))&amp;"Asset", ""),
     IF(AND(EInfo_GEC2_7[[#This Row],[E.Info.DT.GEC-6]]&lt;&gt;"N/A", EInfo_GEC2_7[[#This Row],[E.Info.DT.GEC-6]]&lt;&gt;""), "E.Info.GEC-6." &amp; _xlfn.TEXTSPLIT(Interfaces!L13,, ", "&amp;CHAR(10))&amp;"Asset", "")
), "N/A"), "")</f>
        <v/>
      </c>
      <c r="C15" s="110" t="str">
        <f>Interfaces!F13</f>
        <v/>
      </c>
      <c r="D15" s="114"/>
      <c r="E15" s="461"/>
      <c r="F15" s="462"/>
      <c r="G15" s="466" t="str">
        <f>IFERROR(IF($A15&lt;&gt;"",
    _xlfn.TEXTJOIN(", "&amp;CHAR(10), TRUE,
      IF(AND(Interfaces!C13="Network",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IF(AND(Interfaces!C13="Network", EInfo_GEC2_7[[#This Row],[E.Info.DT.GEC-3]]&lt;&gt;"", EInfo_GEC2_7[[#This Row],[E.Info.DT.GEC-3]]&lt;&gt;"N/A"), "E.Info.GEC-3.NetworkInterface.Exposure", ""),
      IF(AND(Interfaces!C13="Network",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15" s="45"/>
      <c r="I15" s="472" t="str">
        <f>IF($A15&lt;&gt;"",
      IF(AND(Interfaces!C13="Network", EInfo_GEC2_7[[#This Row],[E.Info.DT.GEC-4]]&lt;&gt;"", EInfo_GEC2_7[[#This Row],[E.Info.DT.GEC-4]]&lt;&gt;"N/A"), "E.Info.GEC-4.UserDoc.NetworkInterface.Exposure", ""),
      "")</f>
        <v/>
      </c>
      <c r="J15" s="45"/>
      <c r="K15" s="466" t="str">
        <f>IF($A15&lt;&gt;"",
      IF(Interfaces!G13&lt;&gt;"", IF(Interfaces!G13="Yes", _xlfn.TEXTJOIN(", "&amp;CHAR(10), TRUE, "E.Info.GEC-5.PhysicalExternalInterface", "E.Info.GEC-5.PhysicalExternalInterface.Purpose", "E.Info.GEC-5.PhysicalExternalInterface.Type", "E.Info.GEC-5.IntFunc"), "N/A"), ""),
"")</f>
        <v/>
      </c>
      <c r="L15" s="150"/>
      <c r="M15" s="120"/>
      <c r="N15" s="389" t="str">
        <f>IF($A15&lt;&gt;"",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15" s="149"/>
      <c r="P15" s="460"/>
      <c r="Q15" s="389" t="str">
        <f>IF($A15&lt;&gt;"",
        IF(EInfo_GEC2_7[[#This Row],[E.Info.DT.GEC-7]]&lt;&gt;"",
         IF(AND(EInfo_GEC2_7[[#This Row],[E.Info.DT.GEC-7]]&lt;&gt;"N/A", Interfaces!H13="Yes"),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15" s="149"/>
    </row>
    <row r="16" spans="1:18" x14ac:dyDescent="0.3">
      <c r="A16" s="125" t="str">
        <f>IF(Interfaces!A14&lt;&gt;"", Interfaces!A14, "")</f>
        <v/>
      </c>
      <c r="B16" s="389" t="str" cm="1">
        <f t="array" ref="B16">IF($A16&lt;&gt;"",
  IF(Interfaces!C14="Network",
    _xlfn.TEXTJOIN(", "&amp;CHAR(10), TRUE,
     IF(AND(Interfaces!L14&lt;&gt;"", EInfo_GEC2_7[[#This Row],[E.Info.DT.GEC-2]]&lt;&gt;"N/A", EInfo_GEC2_7[[#This Row],[E.Info.DT.GEC-2]]&lt;&gt;""), "E.Info.GEC-2." &amp; _xlfn.TEXTSPLIT(Interfaces!L14,, ", "&amp;CHAR(10))&amp;"Asset", ""),
     IF(AND(Interfaces!L14&lt;&gt;"", EInfo_GEC2_7[[#This Row],[E.Info.DT.GEC-3]]&lt;&gt;"N/A", EInfo_GEC2_7[[#This Row],[E.Info.DT.GEC-3]]&lt;&gt;""), "E.Info.GEC-3." &amp; _xlfn.TEXTSPLIT(Interfaces!L14,, ", "&amp;CHAR(10))&amp;"Asset", ""),
     IF(AND(EInfo_GEC2_7[[#This Row],[E.Info.DT.GEC-6]]&lt;&gt;"N/A", EInfo_GEC2_7[[#This Row],[E.Info.DT.GEC-6]]&lt;&gt;""), "E.Info.GEC-6." &amp; _xlfn.TEXTSPLIT(Interfaces!L14,, ", "&amp;CHAR(10))&amp;"Asset", "")
), "N/A"), "")</f>
        <v/>
      </c>
      <c r="C16" s="110" t="str">
        <f>Interfaces!F14</f>
        <v/>
      </c>
      <c r="D16" s="114"/>
      <c r="E16" s="461"/>
      <c r="F16" s="462"/>
      <c r="G16" s="466" t="str">
        <f>IFERROR(IF($A16&lt;&gt;"",
    _xlfn.TEXTJOIN(", "&amp;CHAR(10), TRUE,
      IF(AND(Interfaces!C14="Network",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IF(AND(Interfaces!C14="Network", EInfo_GEC2_7[[#This Row],[E.Info.DT.GEC-3]]&lt;&gt;"", EInfo_GEC2_7[[#This Row],[E.Info.DT.GEC-3]]&lt;&gt;"N/A"), "E.Info.GEC-3.NetworkInterface.Exposure", ""),
      IF(AND(Interfaces!C14="Network",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16" s="45"/>
      <c r="I16" s="472" t="str">
        <f>IF($A16&lt;&gt;"",
      IF(AND(Interfaces!C14="Network", EInfo_GEC2_7[[#This Row],[E.Info.DT.GEC-4]]&lt;&gt;"", EInfo_GEC2_7[[#This Row],[E.Info.DT.GEC-4]]&lt;&gt;"N/A"), "E.Info.GEC-4.UserDoc.NetworkInterface.Exposure", ""),
      "")</f>
        <v/>
      </c>
      <c r="J16" s="45"/>
      <c r="K16" s="466" t="str">
        <f>IF($A16&lt;&gt;"",
      IF(Interfaces!G14&lt;&gt;"", IF(Interfaces!G14="Yes", _xlfn.TEXTJOIN(", "&amp;CHAR(10), TRUE, "E.Info.GEC-5.PhysicalExternalInterface", "E.Info.GEC-5.PhysicalExternalInterface.Purpose", "E.Info.GEC-5.PhysicalExternalInterface.Type", "E.Info.GEC-5.IntFunc"), "N/A"), ""),
"")</f>
        <v/>
      </c>
      <c r="L16" s="150"/>
      <c r="M16" s="120"/>
      <c r="N16" s="389" t="str">
        <f>IF($A16&lt;&gt;"",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16" s="149"/>
      <c r="P16" s="460"/>
      <c r="Q16" s="389" t="str">
        <f>IF($A16&lt;&gt;"",
        IF(EInfo_GEC2_7[[#This Row],[E.Info.DT.GEC-7]]&lt;&gt;"",
         IF(AND(EInfo_GEC2_7[[#This Row],[E.Info.DT.GEC-7]]&lt;&gt;"N/A", Interfaces!H14="Yes"),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16" s="149"/>
    </row>
    <row r="17" spans="1:18" x14ac:dyDescent="0.3">
      <c r="A17" s="125" t="str">
        <f>IF(Interfaces!A15&lt;&gt;"", Interfaces!A15, "")</f>
        <v/>
      </c>
      <c r="B17" s="389" t="str" cm="1">
        <f t="array" ref="B17">IF($A17&lt;&gt;"",
  IF(Interfaces!C15="Network",
    _xlfn.TEXTJOIN(", "&amp;CHAR(10), TRUE,
     IF(AND(Interfaces!L15&lt;&gt;"", EInfo_GEC2_7[[#This Row],[E.Info.DT.GEC-2]]&lt;&gt;"N/A", EInfo_GEC2_7[[#This Row],[E.Info.DT.GEC-2]]&lt;&gt;""), "E.Info.GEC-2." &amp; _xlfn.TEXTSPLIT(Interfaces!L15,, ", "&amp;CHAR(10))&amp;"Asset", ""),
     IF(AND(Interfaces!L15&lt;&gt;"", EInfo_GEC2_7[[#This Row],[E.Info.DT.GEC-3]]&lt;&gt;"N/A", EInfo_GEC2_7[[#This Row],[E.Info.DT.GEC-3]]&lt;&gt;""), "E.Info.GEC-3." &amp; _xlfn.TEXTSPLIT(Interfaces!L15,, ", "&amp;CHAR(10))&amp;"Asset", ""),
     IF(AND(EInfo_GEC2_7[[#This Row],[E.Info.DT.GEC-6]]&lt;&gt;"N/A", EInfo_GEC2_7[[#This Row],[E.Info.DT.GEC-6]]&lt;&gt;""), "E.Info.GEC-6." &amp; _xlfn.TEXTSPLIT(Interfaces!L15,, ", "&amp;CHAR(10))&amp;"Asset", "")
), "N/A"), "")</f>
        <v/>
      </c>
      <c r="C17" s="110" t="str">
        <f>Interfaces!F15</f>
        <v/>
      </c>
      <c r="D17" s="114"/>
      <c r="E17" s="461"/>
      <c r="F17" s="462"/>
      <c r="G17" s="466" t="str">
        <f>IFERROR(IF($A17&lt;&gt;"",
    _xlfn.TEXTJOIN(", "&amp;CHAR(10), TRUE,
      IF(AND(Interfaces!C15="Network",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IF(AND(Interfaces!C15="Network", EInfo_GEC2_7[[#This Row],[E.Info.DT.GEC-3]]&lt;&gt;"", EInfo_GEC2_7[[#This Row],[E.Info.DT.GEC-3]]&lt;&gt;"N/A"), "E.Info.GEC-3.NetworkInterface.Exposure", ""),
      IF(AND(Interfaces!C15="Network",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17" s="45"/>
      <c r="I17" s="472" t="str">
        <f>IF($A17&lt;&gt;"",
      IF(AND(Interfaces!C15="Network", EInfo_GEC2_7[[#This Row],[E.Info.DT.GEC-4]]&lt;&gt;"", EInfo_GEC2_7[[#This Row],[E.Info.DT.GEC-4]]&lt;&gt;"N/A"), "E.Info.GEC-4.UserDoc.NetworkInterface.Exposure", ""),
      "")</f>
        <v/>
      </c>
      <c r="J17" s="45"/>
      <c r="K17" s="466" t="str">
        <f>IF($A17&lt;&gt;"",
      IF(Interfaces!G15&lt;&gt;"", IF(Interfaces!G15="Yes", _xlfn.TEXTJOIN(", "&amp;CHAR(10), TRUE, "E.Info.GEC-5.PhysicalExternalInterface", "E.Info.GEC-5.PhysicalExternalInterface.Purpose", "E.Info.GEC-5.PhysicalExternalInterface.Type", "E.Info.GEC-5.IntFunc"), "N/A"), ""),
"")</f>
        <v/>
      </c>
      <c r="L17" s="150"/>
      <c r="M17" s="120"/>
      <c r="N17" s="389" t="str">
        <f>IF($A17&lt;&gt;"",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17" s="149"/>
      <c r="P17" s="460"/>
      <c r="Q17" s="389" t="str">
        <f>IF($A17&lt;&gt;"",
        IF(EInfo_GEC2_7[[#This Row],[E.Info.DT.GEC-7]]&lt;&gt;"",
         IF(AND(EInfo_GEC2_7[[#This Row],[E.Info.DT.GEC-7]]&lt;&gt;"N/A", Interfaces!H15="Yes"),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17" s="149"/>
    </row>
    <row r="18" spans="1:18" x14ac:dyDescent="0.3">
      <c r="A18" s="125" t="str">
        <f>IF(Interfaces!A16&lt;&gt;"", Interfaces!A16, "")</f>
        <v/>
      </c>
      <c r="B18" s="389" t="str" cm="1">
        <f t="array" ref="B18">IF($A18&lt;&gt;"",
  IF(Interfaces!C16="Network",
    _xlfn.TEXTJOIN(", "&amp;CHAR(10), TRUE,
     IF(AND(Interfaces!L16&lt;&gt;"", EInfo_GEC2_7[[#This Row],[E.Info.DT.GEC-2]]&lt;&gt;"N/A", EInfo_GEC2_7[[#This Row],[E.Info.DT.GEC-2]]&lt;&gt;""), "E.Info.GEC-2." &amp; _xlfn.TEXTSPLIT(Interfaces!L16,, ", "&amp;CHAR(10))&amp;"Asset", ""),
     IF(AND(Interfaces!L16&lt;&gt;"", EInfo_GEC2_7[[#This Row],[E.Info.DT.GEC-3]]&lt;&gt;"N/A", EInfo_GEC2_7[[#This Row],[E.Info.DT.GEC-3]]&lt;&gt;""), "E.Info.GEC-3." &amp; _xlfn.TEXTSPLIT(Interfaces!L16,, ", "&amp;CHAR(10))&amp;"Asset", ""),
     IF(AND(EInfo_GEC2_7[[#This Row],[E.Info.DT.GEC-6]]&lt;&gt;"N/A", EInfo_GEC2_7[[#This Row],[E.Info.DT.GEC-6]]&lt;&gt;""), "E.Info.GEC-6." &amp; _xlfn.TEXTSPLIT(Interfaces!L16,, ", "&amp;CHAR(10))&amp;"Asset", "")
), "N/A"), "")</f>
        <v/>
      </c>
      <c r="C18" s="110" t="str">
        <f>Interfaces!F16</f>
        <v/>
      </c>
      <c r="D18" s="114"/>
      <c r="E18" s="461"/>
      <c r="F18" s="462"/>
      <c r="G18" s="466" t="str">
        <f>IFERROR(IF($A18&lt;&gt;"",
    _xlfn.TEXTJOIN(", "&amp;CHAR(10), TRUE,
      IF(AND(Interfaces!C16="Network",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IF(AND(Interfaces!C16="Network", EInfo_GEC2_7[[#This Row],[E.Info.DT.GEC-3]]&lt;&gt;"", EInfo_GEC2_7[[#This Row],[E.Info.DT.GEC-3]]&lt;&gt;"N/A"), "E.Info.GEC-3.NetworkInterface.Exposure", ""),
      IF(AND(Interfaces!C16="Network",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18" s="45"/>
      <c r="I18" s="472" t="str">
        <f>IF($A18&lt;&gt;"",
      IF(AND(Interfaces!C16="Network", EInfo_GEC2_7[[#This Row],[E.Info.DT.GEC-4]]&lt;&gt;"", EInfo_GEC2_7[[#This Row],[E.Info.DT.GEC-4]]&lt;&gt;"N/A"), "E.Info.GEC-4.UserDoc.NetworkInterface.Exposure", ""),
      "")</f>
        <v/>
      </c>
      <c r="J18" s="45"/>
      <c r="K18" s="466" t="str">
        <f>IF($A18&lt;&gt;"",
      IF(Interfaces!G16&lt;&gt;"", IF(Interfaces!G16="Yes", _xlfn.TEXTJOIN(", "&amp;CHAR(10), TRUE, "E.Info.GEC-5.PhysicalExternalInterface", "E.Info.GEC-5.PhysicalExternalInterface.Purpose", "E.Info.GEC-5.PhysicalExternalInterface.Type", "E.Info.GEC-5.IntFunc"), "N/A"), ""),
"")</f>
        <v/>
      </c>
      <c r="L18" s="150"/>
      <c r="M18" s="120"/>
      <c r="N18" s="389" t="str">
        <f>IF($A18&lt;&gt;"",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18" s="149"/>
      <c r="P18" s="460"/>
      <c r="Q18" s="389" t="str">
        <f>IF($A18&lt;&gt;"",
        IF(EInfo_GEC2_7[[#This Row],[E.Info.DT.GEC-7]]&lt;&gt;"",
         IF(AND(EInfo_GEC2_7[[#This Row],[E.Info.DT.GEC-7]]&lt;&gt;"N/A", Interfaces!H16="Yes"),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18" s="149"/>
    </row>
    <row r="19" spans="1:18" x14ac:dyDescent="0.3">
      <c r="A19" s="125" t="str">
        <f>IF(Interfaces!A17&lt;&gt;"", Interfaces!A17, "")</f>
        <v/>
      </c>
      <c r="B19" s="389" t="str" cm="1">
        <f t="array" ref="B19">IF($A19&lt;&gt;"",
  IF(Interfaces!C17="Network",
    _xlfn.TEXTJOIN(", "&amp;CHAR(10), TRUE,
     IF(AND(Interfaces!L17&lt;&gt;"", EInfo_GEC2_7[[#This Row],[E.Info.DT.GEC-2]]&lt;&gt;"N/A", EInfo_GEC2_7[[#This Row],[E.Info.DT.GEC-2]]&lt;&gt;""), "E.Info.GEC-2." &amp; _xlfn.TEXTSPLIT(Interfaces!L17,, ", "&amp;CHAR(10))&amp;"Asset", ""),
     IF(AND(Interfaces!L17&lt;&gt;"", EInfo_GEC2_7[[#This Row],[E.Info.DT.GEC-3]]&lt;&gt;"N/A", EInfo_GEC2_7[[#This Row],[E.Info.DT.GEC-3]]&lt;&gt;""), "E.Info.GEC-3." &amp; _xlfn.TEXTSPLIT(Interfaces!L17,, ", "&amp;CHAR(10))&amp;"Asset", ""),
     IF(AND(EInfo_GEC2_7[[#This Row],[E.Info.DT.GEC-6]]&lt;&gt;"N/A", EInfo_GEC2_7[[#This Row],[E.Info.DT.GEC-6]]&lt;&gt;""), "E.Info.GEC-6." &amp; _xlfn.TEXTSPLIT(Interfaces!L17,, ", "&amp;CHAR(10))&amp;"Asset", "")
), "N/A"), "")</f>
        <v/>
      </c>
      <c r="C19" s="110" t="str">
        <f>Interfaces!F17</f>
        <v/>
      </c>
      <c r="D19" s="114"/>
      <c r="E19" s="461"/>
      <c r="F19" s="462"/>
      <c r="G19" s="466" t="str">
        <f>IFERROR(IF($A19&lt;&gt;"",
    _xlfn.TEXTJOIN(", "&amp;CHAR(10), TRUE,
      IF(AND(Interfaces!C17="Network",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IF(AND(Interfaces!C17="Network", EInfo_GEC2_7[[#This Row],[E.Info.DT.GEC-3]]&lt;&gt;"", EInfo_GEC2_7[[#This Row],[E.Info.DT.GEC-3]]&lt;&gt;"N/A"), "E.Info.GEC-3.NetworkInterface.Exposure", ""),
      IF(AND(Interfaces!C17="Network",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19" s="45"/>
      <c r="I19" s="472" t="str">
        <f>IF($A19&lt;&gt;"",
      IF(AND(Interfaces!C17="Network", EInfo_GEC2_7[[#This Row],[E.Info.DT.GEC-4]]&lt;&gt;"", EInfo_GEC2_7[[#This Row],[E.Info.DT.GEC-4]]&lt;&gt;"N/A"), "E.Info.GEC-4.UserDoc.NetworkInterface.Exposure", ""),
      "")</f>
        <v/>
      </c>
      <c r="J19" s="45"/>
      <c r="K19" s="466" t="str">
        <f>IF($A19&lt;&gt;"",
      IF(Interfaces!G17&lt;&gt;"", IF(Interfaces!G17="Yes", _xlfn.TEXTJOIN(", "&amp;CHAR(10), TRUE, "E.Info.GEC-5.PhysicalExternalInterface", "E.Info.GEC-5.PhysicalExternalInterface.Purpose", "E.Info.GEC-5.PhysicalExternalInterface.Type", "E.Info.GEC-5.IntFunc"), "N/A"), ""),
"")</f>
        <v/>
      </c>
      <c r="L19" s="150"/>
      <c r="M19" s="120"/>
      <c r="N19" s="389" t="str">
        <f>IF($A19&lt;&gt;"",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19" s="149"/>
      <c r="P19" s="460"/>
      <c r="Q19" s="389" t="str">
        <f>IF($A19&lt;&gt;"",
        IF(EInfo_GEC2_7[[#This Row],[E.Info.DT.GEC-7]]&lt;&gt;"",
         IF(AND(EInfo_GEC2_7[[#This Row],[E.Info.DT.GEC-7]]&lt;&gt;"N/A", Interfaces!H17="Yes"),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19" s="149"/>
    </row>
    <row r="20" spans="1:18" x14ac:dyDescent="0.3">
      <c r="A20" s="125" t="str">
        <f>IF(Interfaces!A18&lt;&gt;"", Interfaces!A18, "")</f>
        <v/>
      </c>
      <c r="B20" s="389" t="str" cm="1">
        <f t="array" ref="B20">IF($A20&lt;&gt;"",
  IF(Interfaces!C18="Network",
    _xlfn.TEXTJOIN(", "&amp;CHAR(10), TRUE,
     IF(AND(Interfaces!L18&lt;&gt;"", EInfo_GEC2_7[[#This Row],[E.Info.DT.GEC-2]]&lt;&gt;"N/A", EInfo_GEC2_7[[#This Row],[E.Info.DT.GEC-2]]&lt;&gt;""), "E.Info.GEC-2." &amp; _xlfn.TEXTSPLIT(Interfaces!L18,, ", "&amp;CHAR(10))&amp;"Asset", ""),
     IF(AND(Interfaces!L18&lt;&gt;"", EInfo_GEC2_7[[#This Row],[E.Info.DT.GEC-3]]&lt;&gt;"N/A", EInfo_GEC2_7[[#This Row],[E.Info.DT.GEC-3]]&lt;&gt;""), "E.Info.GEC-3." &amp; _xlfn.TEXTSPLIT(Interfaces!L18,, ", "&amp;CHAR(10))&amp;"Asset", ""),
     IF(AND(EInfo_GEC2_7[[#This Row],[E.Info.DT.GEC-6]]&lt;&gt;"N/A", EInfo_GEC2_7[[#This Row],[E.Info.DT.GEC-6]]&lt;&gt;""), "E.Info.GEC-6." &amp; _xlfn.TEXTSPLIT(Interfaces!L18,, ", "&amp;CHAR(10))&amp;"Asset", "")
), "N/A"), "")</f>
        <v/>
      </c>
      <c r="C20" s="110" t="str">
        <f>Interfaces!F18</f>
        <v/>
      </c>
      <c r="D20" s="114"/>
      <c r="E20" s="461"/>
      <c r="F20" s="462"/>
      <c r="G20" s="466" t="str">
        <f>IFERROR(IF($A20&lt;&gt;"",
    _xlfn.TEXTJOIN(", "&amp;CHAR(10), TRUE,
      IF(AND(Interfaces!C18="Network",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IF(AND(Interfaces!C18="Network", EInfo_GEC2_7[[#This Row],[E.Info.DT.GEC-3]]&lt;&gt;"", EInfo_GEC2_7[[#This Row],[E.Info.DT.GEC-3]]&lt;&gt;"N/A"), "E.Info.GEC-3.NetworkInterface.Exposure", ""),
      IF(AND(Interfaces!C18="Network",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20" s="45"/>
      <c r="I20" s="472" t="str">
        <f>IF($A20&lt;&gt;"",
      IF(AND(Interfaces!C18="Network", EInfo_GEC2_7[[#This Row],[E.Info.DT.GEC-4]]&lt;&gt;"", EInfo_GEC2_7[[#This Row],[E.Info.DT.GEC-4]]&lt;&gt;"N/A"), "E.Info.GEC-4.UserDoc.NetworkInterface.Exposure", ""),
      "")</f>
        <v/>
      </c>
      <c r="J20" s="45"/>
      <c r="K20" s="466" t="str">
        <f>IF($A20&lt;&gt;"",
      IF(Interfaces!G18&lt;&gt;"", IF(Interfaces!G18="Yes", _xlfn.TEXTJOIN(", "&amp;CHAR(10), TRUE, "E.Info.GEC-5.PhysicalExternalInterface", "E.Info.GEC-5.PhysicalExternalInterface.Purpose", "E.Info.GEC-5.PhysicalExternalInterface.Type", "E.Info.GEC-5.IntFunc"), "N/A"), ""),
"")</f>
        <v/>
      </c>
      <c r="L20" s="150"/>
      <c r="M20" s="120"/>
      <c r="N20" s="389" t="str">
        <f>IF($A20&lt;&gt;"",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20" s="149"/>
      <c r="P20" s="460"/>
      <c r="Q20" s="389" t="str">
        <f>IF($A20&lt;&gt;"",
        IF(EInfo_GEC2_7[[#This Row],[E.Info.DT.GEC-7]]&lt;&gt;"",
         IF(AND(EInfo_GEC2_7[[#This Row],[E.Info.DT.GEC-7]]&lt;&gt;"N/A", Interfaces!H18="Yes"),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20" s="149"/>
    </row>
    <row r="21" spans="1:18" x14ac:dyDescent="0.3">
      <c r="A21" s="125" t="str">
        <f>IF(Interfaces!A19&lt;&gt;"", Interfaces!A19, "")</f>
        <v/>
      </c>
      <c r="B21" s="389" t="str" cm="1">
        <f t="array" ref="B21">IF($A21&lt;&gt;"",
  IF(Interfaces!C19="Network",
    _xlfn.TEXTJOIN(", "&amp;CHAR(10), TRUE,
     IF(AND(Interfaces!L19&lt;&gt;"", EInfo_GEC2_7[[#This Row],[E.Info.DT.GEC-2]]&lt;&gt;"N/A", EInfo_GEC2_7[[#This Row],[E.Info.DT.GEC-2]]&lt;&gt;""), "E.Info.GEC-2." &amp; _xlfn.TEXTSPLIT(Interfaces!L19,, ", "&amp;CHAR(10))&amp;"Asset", ""),
     IF(AND(Interfaces!L19&lt;&gt;"", EInfo_GEC2_7[[#This Row],[E.Info.DT.GEC-3]]&lt;&gt;"N/A", EInfo_GEC2_7[[#This Row],[E.Info.DT.GEC-3]]&lt;&gt;""), "E.Info.GEC-3." &amp; _xlfn.TEXTSPLIT(Interfaces!L19,, ", "&amp;CHAR(10))&amp;"Asset", ""),
     IF(AND(EInfo_GEC2_7[[#This Row],[E.Info.DT.GEC-6]]&lt;&gt;"N/A", EInfo_GEC2_7[[#This Row],[E.Info.DT.GEC-6]]&lt;&gt;""), "E.Info.GEC-6." &amp; _xlfn.TEXTSPLIT(Interfaces!L19,, ", "&amp;CHAR(10))&amp;"Asset", "")
), "N/A"), "")</f>
        <v/>
      </c>
      <c r="C21" s="110" t="str">
        <f>Interfaces!F19</f>
        <v/>
      </c>
      <c r="D21" s="114"/>
      <c r="E21" s="461"/>
      <c r="F21" s="462"/>
      <c r="G21" s="466" t="str">
        <f>IFERROR(IF($A21&lt;&gt;"",
    _xlfn.TEXTJOIN(", "&amp;CHAR(10), TRUE,
      IF(AND(Interfaces!C19="Network",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IF(AND(Interfaces!C19="Network", EInfo_GEC2_7[[#This Row],[E.Info.DT.GEC-3]]&lt;&gt;"", EInfo_GEC2_7[[#This Row],[E.Info.DT.GEC-3]]&lt;&gt;"N/A"), "E.Info.GEC-3.NetworkInterface.Exposure", ""),
      IF(AND(Interfaces!C19="Network",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21" s="45"/>
      <c r="I21" s="472" t="str">
        <f>IF($A21&lt;&gt;"",
      IF(AND(Interfaces!C19="Network", EInfo_GEC2_7[[#This Row],[E.Info.DT.GEC-4]]&lt;&gt;"", EInfo_GEC2_7[[#This Row],[E.Info.DT.GEC-4]]&lt;&gt;"N/A"), "E.Info.GEC-4.UserDoc.NetworkInterface.Exposure", ""),
      "")</f>
        <v/>
      </c>
      <c r="J21" s="45"/>
      <c r="K21" s="466" t="str">
        <f>IF($A21&lt;&gt;"",
      IF(Interfaces!G19&lt;&gt;"", IF(Interfaces!G19="Yes", _xlfn.TEXTJOIN(", "&amp;CHAR(10), TRUE, "E.Info.GEC-5.PhysicalExternalInterface", "E.Info.GEC-5.PhysicalExternalInterface.Purpose", "E.Info.GEC-5.PhysicalExternalInterface.Type", "E.Info.GEC-5.IntFunc"), "N/A"), ""),
"")</f>
        <v/>
      </c>
      <c r="L21" s="150"/>
      <c r="M21" s="120"/>
      <c r="N21" s="389" t="str">
        <f>IF($A21&lt;&gt;"",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21" s="149"/>
      <c r="P21" s="460"/>
      <c r="Q21" s="389" t="str">
        <f>IF($A21&lt;&gt;"",
        IF(EInfo_GEC2_7[[#This Row],[E.Info.DT.GEC-7]]&lt;&gt;"",
         IF(AND(EInfo_GEC2_7[[#This Row],[E.Info.DT.GEC-7]]&lt;&gt;"N/A", Interfaces!H19="Yes"),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21" s="149"/>
    </row>
    <row r="22" spans="1:18" x14ac:dyDescent="0.3">
      <c r="A22" s="125" t="str">
        <f>IF(Interfaces!A20&lt;&gt;"", Interfaces!A20, "")</f>
        <v/>
      </c>
      <c r="B22" s="389" t="str" cm="1">
        <f t="array" ref="B22">IF($A22&lt;&gt;"",
  IF(Interfaces!C20="Network",
    _xlfn.TEXTJOIN(", "&amp;CHAR(10), TRUE,
     IF(AND(Interfaces!L20&lt;&gt;"", EInfo_GEC2_7[[#This Row],[E.Info.DT.GEC-2]]&lt;&gt;"N/A", EInfo_GEC2_7[[#This Row],[E.Info.DT.GEC-2]]&lt;&gt;""), "E.Info.GEC-2." &amp; _xlfn.TEXTSPLIT(Interfaces!L20,, ", "&amp;CHAR(10))&amp;"Asset", ""),
     IF(AND(Interfaces!L20&lt;&gt;"", EInfo_GEC2_7[[#This Row],[E.Info.DT.GEC-3]]&lt;&gt;"N/A", EInfo_GEC2_7[[#This Row],[E.Info.DT.GEC-3]]&lt;&gt;""), "E.Info.GEC-3." &amp; _xlfn.TEXTSPLIT(Interfaces!L20,, ", "&amp;CHAR(10))&amp;"Asset", ""),
     IF(AND(EInfo_GEC2_7[[#This Row],[E.Info.DT.GEC-6]]&lt;&gt;"N/A", EInfo_GEC2_7[[#This Row],[E.Info.DT.GEC-6]]&lt;&gt;""), "E.Info.GEC-6." &amp; _xlfn.TEXTSPLIT(Interfaces!L20,, ", "&amp;CHAR(10))&amp;"Asset", "")
), "N/A"), "")</f>
        <v/>
      </c>
      <c r="C22" s="110" t="str">
        <f>Interfaces!F20</f>
        <v/>
      </c>
      <c r="D22" s="114"/>
      <c r="E22" s="461"/>
      <c r="F22" s="462"/>
      <c r="G22" s="466" t="str">
        <f>IFERROR(IF($A22&lt;&gt;"",
    _xlfn.TEXTJOIN(", "&amp;CHAR(10), TRUE,
      IF(AND(Interfaces!C20="Network",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IF(AND(Interfaces!C20="Network", EInfo_GEC2_7[[#This Row],[E.Info.DT.GEC-3]]&lt;&gt;"", EInfo_GEC2_7[[#This Row],[E.Info.DT.GEC-3]]&lt;&gt;"N/A"), "E.Info.GEC-3.NetworkInterface.Exposure", ""),
      IF(AND(Interfaces!C20="Network",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22" s="45"/>
      <c r="I22" s="472" t="str">
        <f>IF($A22&lt;&gt;"",
      IF(AND(Interfaces!C20="Network", EInfo_GEC2_7[[#This Row],[E.Info.DT.GEC-4]]&lt;&gt;"", EInfo_GEC2_7[[#This Row],[E.Info.DT.GEC-4]]&lt;&gt;"N/A"), "E.Info.GEC-4.UserDoc.NetworkInterface.Exposure", ""),
      "")</f>
        <v/>
      </c>
      <c r="J22" s="45"/>
      <c r="K22" s="466" t="str">
        <f>IF($A22&lt;&gt;"",
      IF(Interfaces!G20&lt;&gt;"", IF(Interfaces!G20="Yes", _xlfn.TEXTJOIN(", "&amp;CHAR(10), TRUE, "E.Info.GEC-5.PhysicalExternalInterface", "E.Info.GEC-5.PhysicalExternalInterface.Purpose", "E.Info.GEC-5.PhysicalExternalInterface.Type", "E.Info.GEC-5.IntFunc"), "N/A"), ""),
"")</f>
        <v/>
      </c>
      <c r="L22" s="150"/>
      <c r="M22" s="120"/>
      <c r="N22" s="389" t="str">
        <f>IF($A22&lt;&gt;"",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22" s="149"/>
      <c r="P22" s="460"/>
      <c r="Q22" s="389" t="str">
        <f>IF($A22&lt;&gt;"",
        IF(EInfo_GEC2_7[[#This Row],[E.Info.DT.GEC-7]]&lt;&gt;"",
         IF(AND(EInfo_GEC2_7[[#This Row],[E.Info.DT.GEC-7]]&lt;&gt;"N/A", Interfaces!H20="Yes"),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22" s="149"/>
    </row>
    <row r="23" spans="1:18" x14ac:dyDescent="0.3">
      <c r="A23" s="125" t="str">
        <f>IF(Interfaces!A21&lt;&gt;"", Interfaces!A21, "")</f>
        <v/>
      </c>
      <c r="B23" s="389" t="str" cm="1">
        <f t="array" ref="B23">IF($A23&lt;&gt;"",
  IF(Interfaces!C21="Network",
    _xlfn.TEXTJOIN(", "&amp;CHAR(10), TRUE,
     IF(AND(Interfaces!L21&lt;&gt;"", EInfo_GEC2_7[[#This Row],[E.Info.DT.GEC-2]]&lt;&gt;"N/A", EInfo_GEC2_7[[#This Row],[E.Info.DT.GEC-2]]&lt;&gt;""), "E.Info.GEC-2." &amp; _xlfn.TEXTSPLIT(Interfaces!L21,, ", "&amp;CHAR(10))&amp;"Asset", ""),
     IF(AND(Interfaces!L21&lt;&gt;"", EInfo_GEC2_7[[#This Row],[E.Info.DT.GEC-3]]&lt;&gt;"N/A", EInfo_GEC2_7[[#This Row],[E.Info.DT.GEC-3]]&lt;&gt;""), "E.Info.GEC-3." &amp; _xlfn.TEXTSPLIT(Interfaces!L21,, ", "&amp;CHAR(10))&amp;"Asset", ""),
     IF(AND(EInfo_GEC2_7[[#This Row],[E.Info.DT.GEC-6]]&lt;&gt;"N/A", EInfo_GEC2_7[[#This Row],[E.Info.DT.GEC-6]]&lt;&gt;""), "E.Info.GEC-6." &amp; _xlfn.TEXTSPLIT(Interfaces!L21,, ", "&amp;CHAR(10))&amp;"Asset", "")
), "N/A"), "")</f>
        <v/>
      </c>
      <c r="C23" s="110" t="str">
        <f>Interfaces!F21</f>
        <v/>
      </c>
      <c r="D23" s="114"/>
      <c r="E23" s="461"/>
      <c r="F23" s="462"/>
      <c r="G23" s="466" t="str">
        <f>IFERROR(IF($A23&lt;&gt;"",
    _xlfn.TEXTJOIN(", "&amp;CHAR(10), TRUE,
      IF(AND(Interfaces!C21="Network",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IF(AND(Interfaces!C21="Network", EInfo_GEC2_7[[#This Row],[E.Info.DT.GEC-3]]&lt;&gt;"", EInfo_GEC2_7[[#This Row],[E.Info.DT.GEC-3]]&lt;&gt;"N/A"), "E.Info.GEC-3.NetworkInterface.Exposure", ""),
      IF(AND(Interfaces!C21="Network",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23" s="45"/>
      <c r="I23" s="472" t="str">
        <f>IF($A23&lt;&gt;"",
      IF(AND(Interfaces!C21="Network", EInfo_GEC2_7[[#This Row],[E.Info.DT.GEC-4]]&lt;&gt;"", EInfo_GEC2_7[[#This Row],[E.Info.DT.GEC-4]]&lt;&gt;"N/A"), "E.Info.GEC-4.UserDoc.NetworkInterface.Exposure", ""),
      "")</f>
        <v/>
      </c>
      <c r="J23" s="45"/>
      <c r="K23" s="466" t="str">
        <f>IF($A23&lt;&gt;"",
      IF(Interfaces!G21&lt;&gt;"", IF(Interfaces!G21="Yes", _xlfn.TEXTJOIN(", "&amp;CHAR(10), TRUE, "E.Info.GEC-5.PhysicalExternalInterface", "E.Info.GEC-5.PhysicalExternalInterface.Purpose", "E.Info.GEC-5.PhysicalExternalInterface.Type", "E.Info.GEC-5.IntFunc"), "N/A"), ""),
"")</f>
        <v/>
      </c>
      <c r="L23" s="150"/>
      <c r="M23" s="120"/>
      <c r="N23" s="389" t="str">
        <f>IF($A23&lt;&gt;"",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23" s="149"/>
      <c r="P23" s="460"/>
      <c r="Q23" s="389" t="str">
        <f>IF($A23&lt;&gt;"",
        IF(EInfo_GEC2_7[[#This Row],[E.Info.DT.GEC-7]]&lt;&gt;"",
         IF(AND(EInfo_GEC2_7[[#This Row],[E.Info.DT.GEC-7]]&lt;&gt;"N/A", Interfaces!H21="Yes"),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23" s="149"/>
    </row>
    <row r="24" spans="1:18" x14ac:dyDescent="0.3">
      <c r="A24" s="125" t="str">
        <f>IF(Interfaces!A22&lt;&gt;"", Interfaces!A22, "")</f>
        <v/>
      </c>
      <c r="B24" s="389" t="str" cm="1">
        <f t="array" ref="B24">IF($A24&lt;&gt;"",
  IF(Interfaces!C22="Network",
    _xlfn.TEXTJOIN(", "&amp;CHAR(10), TRUE,
     IF(AND(Interfaces!L22&lt;&gt;"", EInfo_GEC2_7[[#This Row],[E.Info.DT.GEC-2]]&lt;&gt;"N/A", EInfo_GEC2_7[[#This Row],[E.Info.DT.GEC-2]]&lt;&gt;""), "E.Info.GEC-2." &amp; _xlfn.TEXTSPLIT(Interfaces!L22,, ", "&amp;CHAR(10))&amp;"Asset", ""),
     IF(AND(Interfaces!L22&lt;&gt;"", EInfo_GEC2_7[[#This Row],[E.Info.DT.GEC-3]]&lt;&gt;"N/A", EInfo_GEC2_7[[#This Row],[E.Info.DT.GEC-3]]&lt;&gt;""), "E.Info.GEC-3." &amp; _xlfn.TEXTSPLIT(Interfaces!L22,, ", "&amp;CHAR(10))&amp;"Asset", ""),
     IF(AND(EInfo_GEC2_7[[#This Row],[E.Info.DT.GEC-6]]&lt;&gt;"N/A", EInfo_GEC2_7[[#This Row],[E.Info.DT.GEC-6]]&lt;&gt;""), "E.Info.GEC-6." &amp; _xlfn.TEXTSPLIT(Interfaces!L22,, ", "&amp;CHAR(10))&amp;"Asset", "")
), "N/A"), "")</f>
        <v/>
      </c>
      <c r="C24" s="110" t="str">
        <f>Interfaces!F22</f>
        <v/>
      </c>
      <c r="D24" s="114"/>
      <c r="E24" s="461"/>
      <c r="F24" s="462"/>
      <c r="G24" s="466" t="str">
        <f>IFERROR(IF($A24&lt;&gt;"",
    _xlfn.TEXTJOIN(", "&amp;CHAR(10), TRUE,
      IF(AND(Interfaces!C22="Network",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IF(AND(Interfaces!C22="Network", EInfo_GEC2_7[[#This Row],[E.Info.DT.GEC-3]]&lt;&gt;"", EInfo_GEC2_7[[#This Row],[E.Info.DT.GEC-3]]&lt;&gt;"N/A"), "E.Info.GEC-3.NetworkInterface.Exposure", ""),
      IF(AND(Interfaces!C22="Network",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24" s="45"/>
      <c r="I24" s="472" t="str">
        <f>IF($A24&lt;&gt;"",
      IF(AND(Interfaces!C22="Network", EInfo_GEC2_7[[#This Row],[E.Info.DT.GEC-4]]&lt;&gt;"", EInfo_GEC2_7[[#This Row],[E.Info.DT.GEC-4]]&lt;&gt;"N/A"), "E.Info.GEC-4.UserDoc.NetworkInterface.Exposure", ""),
      "")</f>
        <v/>
      </c>
      <c r="J24" s="45"/>
      <c r="K24" s="466" t="str">
        <f>IF($A24&lt;&gt;"",
      IF(Interfaces!G22&lt;&gt;"", IF(Interfaces!G22="Yes", _xlfn.TEXTJOIN(", "&amp;CHAR(10), TRUE, "E.Info.GEC-5.PhysicalExternalInterface", "E.Info.GEC-5.PhysicalExternalInterface.Purpose", "E.Info.GEC-5.PhysicalExternalInterface.Type", "E.Info.GEC-5.IntFunc"), "N/A"), ""),
"")</f>
        <v/>
      </c>
      <c r="L24" s="150"/>
      <c r="M24" s="120"/>
      <c r="N24" s="389" t="str">
        <f>IF($A24&lt;&gt;"",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24" s="149"/>
      <c r="P24" s="460"/>
      <c r="Q24" s="389" t="str">
        <f>IF($A24&lt;&gt;"",
        IF(EInfo_GEC2_7[[#This Row],[E.Info.DT.GEC-7]]&lt;&gt;"",
         IF(AND(EInfo_GEC2_7[[#This Row],[E.Info.DT.GEC-7]]&lt;&gt;"N/A", Interfaces!H22="Yes"),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24" s="149"/>
    </row>
    <row r="25" spans="1:18" x14ac:dyDescent="0.3">
      <c r="A25" s="125" t="str">
        <f>IF(Interfaces!A23&lt;&gt;"", Interfaces!A23, "")</f>
        <v/>
      </c>
      <c r="B25" s="389" t="str" cm="1">
        <f t="array" ref="B25">IF($A25&lt;&gt;"",
  IF(Interfaces!C23="Network",
    _xlfn.TEXTJOIN(", "&amp;CHAR(10), TRUE,
     IF(AND(Interfaces!L23&lt;&gt;"", EInfo_GEC2_7[[#This Row],[E.Info.DT.GEC-2]]&lt;&gt;"N/A", EInfo_GEC2_7[[#This Row],[E.Info.DT.GEC-2]]&lt;&gt;""), "E.Info.GEC-2." &amp; _xlfn.TEXTSPLIT(Interfaces!L23,, ", "&amp;CHAR(10))&amp;"Asset", ""),
     IF(AND(Interfaces!L23&lt;&gt;"", EInfo_GEC2_7[[#This Row],[E.Info.DT.GEC-3]]&lt;&gt;"N/A", EInfo_GEC2_7[[#This Row],[E.Info.DT.GEC-3]]&lt;&gt;""), "E.Info.GEC-3." &amp; _xlfn.TEXTSPLIT(Interfaces!L23,, ", "&amp;CHAR(10))&amp;"Asset", ""),
     IF(AND(EInfo_GEC2_7[[#This Row],[E.Info.DT.GEC-6]]&lt;&gt;"N/A", EInfo_GEC2_7[[#This Row],[E.Info.DT.GEC-6]]&lt;&gt;""), "E.Info.GEC-6." &amp; _xlfn.TEXTSPLIT(Interfaces!L23,, ", "&amp;CHAR(10))&amp;"Asset", "")
), "N/A"), "")</f>
        <v/>
      </c>
      <c r="C25" s="110" t="str">
        <f>Interfaces!F23</f>
        <v/>
      </c>
      <c r="D25" s="114"/>
      <c r="E25" s="461"/>
      <c r="F25" s="462"/>
      <c r="G25" s="466" t="str">
        <f>IFERROR(IF($A25&lt;&gt;"",
    _xlfn.TEXTJOIN(", "&amp;CHAR(10), TRUE,
      IF(AND(Interfaces!C23="Network",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IF(AND(Interfaces!C23="Network", EInfo_GEC2_7[[#This Row],[E.Info.DT.GEC-3]]&lt;&gt;"", EInfo_GEC2_7[[#This Row],[E.Info.DT.GEC-3]]&lt;&gt;"N/A"), "E.Info.GEC-3.NetworkInterface.Exposure", ""),
      IF(AND(Interfaces!C23="Network",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25" s="45"/>
      <c r="I25" s="472" t="str">
        <f>IF($A25&lt;&gt;"",
      IF(AND(Interfaces!C23="Network", EInfo_GEC2_7[[#This Row],[E.Info.DT.GEC-4]]&lt;&gt;"", EInfo_GEC2_7[[#This Row],[E.Info.DT.GEC-4]]&lt;&gt;"N/A"), "E.Info.GEC-4.UserDoc.NetworkInterface.Exposure", ""),
      "")</f>
        <v/>
      </c>
      <c r="J25" s="45"/>
      <c r="K25" s="466" t="str">
        <f>IF($A25&lt;&gt;"",
      IF(Interfaces!G23&lt;&gt;"", IF(Interfaces!G23="Yes", _xlfn.TEXTJOIN(", "&amp;CHAR(10), TRUE, "E.Info.GEC-5.PhysicalExternalInterface", "E.Info.GEC-5.PhysicalExternalInterface.Purpose", "E.Info.GEC-5.PhysicalExternalInterface.Type", "E.Info.GEC-5.IntFunc"), "N/A"), ""),
"")</f>
        <v/>
      </c>
      <c r="L25" s="150"/>
      <c r="M25" s="120"/>
      <c r="N25" s="389" t="str">
        <f>IF($A25&lt;&gt;"",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25" s="149"/>
      <c r="P25" s="460"/>
      <c r="Q25" s="389" t="str">
        <f>IF($A25&lt;&gt;"",
        IF(EInfo_GEC2_7[[#This Row],[E.Info.DT.GEC-7]]&lt;&gt;"",
         IF(AND(EInfo_GEC2_7[[#This Row],[E.Info.DT.GEC-7]]&lt;&gt;"N/A", Interfaces!H23="Yes"),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25" s="149"/>
    </row>
    <row r="26" spans="1:18" x14ac:dyDescent="0.3">
      <c r="A26" s="125" t="str">
        <f>IF(Interfaces!A24&lt;&gt;"", Interfaces!A24, "")</f>
        <v/>
      </c>
      <c r="B26" s="389" t="str" cm="1">
        <f t="array" ref="B26">IF($A26&lt;&gt;"",
  IF(Interfaces!C24="Network",
    _xlfn.TEXTJOIN(", "&amp;CHAR(10), TRUE,
     IF(AND(Interfaces!L24&lt;&gt;"", EInfo_GEC2_7[[#This Row],[E.Info.DT.GEC-2]]&lt;&gt;"N/A", EInfo_GEC2_7[[#This Row],[E.Info.DT.GEC-2]]&lt;&gt;""), "E.Info.GEC-2." &amp; _xlfn.TEXTSPLIT(Interfaces!L24,, ", "&amp;CHAR(10))&amp;"Asset", ""),
     IF(AND(Interfaces!L24&lt;&gt;"", EInfo_GEC2_7[[#This Row],[E.Info.DT.GEC-3]]&lt;&gt;"N/A", EInfo_GEC2_7[[#This Row],[E.Info.DT.GEC-3]]&lt;&gt;""), "E.Info.GEC-3." &amp; _xlfn.TEXTSPLIT(Interfaces!L24,, ", "&amp;CHAR(10))&amp;"Asset", ""),
     IF(AND(EInfo_GEC2_7[[#This Row],[E.Info.DT.GEC-6]]&lt;&gt;"N/A", EInfo_GEC2_7[[#This Row],[E.Info.DT.GEC-6]]&lt;&gt;""), "E.Info.GEC-6." &amp; _xlfn.TEXTSPLIT(Interfaces!L24,, ", "&amp;CHAR(10))&amp;"Asset", "")
), "N/A"), "")</f>
        <v/>
      </c>
      <c r="C26" s="110" t="str">
        <f>Interfaces!F24</f>
        <v/>
      </c>
      <c r="D26" s="114"/>
      <c r="E26" s="461"/>
      <c r="F26" s="462"/>
      <c r="G26" s="466" t="str">
        <f>IFERROR(IF($A26&lt;&gt;"",
    _xlfn.TEXTJOIN(", "&amp;CHAR(10), TRUE,
      IF(AND(Interfaces!C24="Network",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IF(AND(Interfaces!C24="Network", EInfo_GEC2_7[[#This Row],[E.Info.DT.GEC-3]]&lt;&gt;"", EInfo_GEC2_7[[#This Row],[E.Info.DT.GEC-3]]&lt;&gt;"N/A"), "E.Info.GEC-3.NetworkInterface.Exposure", ""),
      IF(AND(Interfaces!C24="Network",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26" s="45"/>
      <c r="I26" s="472" t="str">
        <f>IF($A26&lt;&gt;"",
      IF(AND(Interfaces!C24="Network", EInfo_GEC2_7[[#This Row],[E.Info.DT.GEC-4]]&lt;&gt;"", EInfo_GEC2_7[[#This Row],[E.Info.DT.GEC-4]]&lt;&gt;"N/A"), "E.Info.GEC-4.UserDoc.NetworkInterface.Exposure", ""),
      "")</f>
        <v/>
      </c>
      <c r="J26" s="45"/>
      <c r="K26" s="466" t="str">
        <f>IF($A26&lt;&gt;"",
      IF(Interfaces!G24&lt;&gt;"", IF(Interfaces!G24="Yes", _xlfn.TEXTJOIN(", "&amp;CHAR(10), TRUE, "E.Info.GEC-5.PhysicalExternalInterface", "E.Info.GEC-5.PhysicalExternalInterface.Purpose", "E.Info.GEC-5.PhysicalExternalInterface.Type", "E.Info.GEC-5.IntFunc"), "N/A"), ""),
"")</f>
        <v/>
      </c>
      <c r="L26" s="150"/>
      <c r="M26" s="120"/>
      <c r="N26" s="389" t="str">
        <f>IF($A26&lt;&gt;"",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26" s="149"/>
      <c r="P26" s="460"/>
      <c r="Q26" s="389" t="str">
        <f>IF($A26&lt;&gt;"",
        IF(EInfo_GEC2_7[[#This Row],[E.Info.DT.GEC-7]]&lt;&gt;"",
         IF(AND(EInfo_GEC2_7[[#This Row],[E.Info.DT.GEC-7]]&lt;&gt;"N/A", Interfaces!H24="Yes"),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26" s="149"/>
    </row>
    <row r="27" spans="1:18" x14ac:dyDescent="0.3">
      <c r="A27" s="125" t="str">
        <f>IF(Interfaces!A25&lt;&gt;"", Interfaces!A25, "")</f>
        <v/>
      </c>
      <c r="B27" s="389" t="str" cm="1">
        <f t="array" ref="B27">IF($A27&lt;&gt;"",
  IF(Interfaces!C25="Network",
    _xlfn.TEXTJOIN(", "&amp;CHAR(10), TRUE,
     IF(AND(Interfaces!L25&lt;&gt;"", EInfo_GEC2_7[[#This Row],[E.Info.DT.GEC-2]]&lt;&gt;"N/A", EInfo_GEC2_7[[#This Row],[E.Info.DT.GEC-2]]&lt;&gt;""), "E.Info.GEC-2." &amp; _xlfn.TEXTSPLIT(Interfaces!L25,, ", "&amp;CHAR(10))&amp;"Asset", ""),
     IF(AND(Interfaces!L25&lt;&gt;"", EInfo_GEC2_7[[#This Row],[E.Info.DT.GEC-3]]&lt;&gt;"N/A", EInfo_GEC2_7[[#This Row],[E.Info.DT.GEC-3]]&lt;&gt;""), "E.Info.GEC-3." &amp; _xlfn.TEXTSPLIT(Interfaces!L25,, ", "&amp;CHAR(10))&amp;"Asset", ""),
     IF(AND(EInfo_GEC2_7[[#This Row],[E.Info.DT.GEC-6]]&lt;&gt;"N/A", EInfo_GEC2_7[[#This Row],[E.Info.DT.GEC-6]]&lt;&gt;""), "E.Info.GEC-6." &amp; _xlfn.TEXTSPLIT(Interfaces!L25,, ", "&amp;CHAR(10))&amp;"Asset", "")
), "N/A"), "")</f>
        <v/>
      </c>
      <c r="C27" s="110" t="str">
        <f>Interfaces!F25</f>
        <v/>
      </c>
      <c r="D27" s="114"/>
      <c r="E27" s="461"/>
      <c r="F27" s="462"/>
      <c r="G27" s="466" t="str">
        <f>IFERROR(IF($A27&lt;&gt;"",
    _xlfn.TEXTJOIN(", "&amp;CHAR(10), TRUE,
      IF(AND(Interfaces!C25="Network",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IF(AND(Interfaces!C25="Network", EInfo_GEC2_7[[#This Row],[E.Info.DT.GEC-3]]&lt;&gt;"", EInfo_GEC2_7[[#This Row],[E.Info.DT.GEC-3]]&lt;&gt;"N/A"), "E.Info.GEC-3.NetworkInterface.Exposure", ""),
      IF(AND(Interfaces!C25="Network",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27" s="45"/>
      <c r="I27" s="472" t="str">
        <f>IF($A27&lt;&gt;"",
      IF(AND(Interfaces!C25="Network", EInfo_GEC2_7[[#This Row],[E.Info.DT.GEC-4]]&lt;&gt;"", EInfo_GEC2_7[[#This Row],[E.Info.DT.GEC-4]]&lt;&gt;"N/A"), "E.Info.GEC-4.UserDoc.NetworkInterface.Exposure", ""),
      "")</f>
        <v/>
      </c>
      <c r="J27" s="45"/>
      <c r="K27" s="466" t="str">
        <f>IF($A27&lt;&gt;"",
      IF(Interfaces!G25&lt;&gt;"", IF(Interfaces!G25="Yes", _xlfn.TEXTJOIN(", "&amp;CHAR(10), TRUE, "E.Info.GEC-5.PhysicalExternalInterface", "E.Info.GEC-5.PhysicalExternalInterface.Purpose", "E.Info.GEC-5.PhysicalExternalInterface.Type", "E.Info.GEC-5.IntFunc"), "N/A"), ""),
"")</f>
        <v/>
      </c>
      <c r="L27" s="150"/>
      <c r="M27" s="120"/>
      <c r="N27" s="389" t="str">
        <f>IF($A27&lt;&gt;"",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27" s="149"/>
      <c r="P27" s="460"/>
      <c r="Q27" s="389" t="str">
        <f>IF($A27&lt;&gt;"",
        IF(EInfo_GEC2_7[[#This Row],[E.Info.DT.GEC-7]]&lt;&gt;"",
         IF(AND(EInfo_GEC2_7[[#This Row],[E.Info.DT.GEC-7]]&lt;&gt;"N/A", Interfaces!H25="Yes"),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27" s="149"/>
    </row>
    <row r="28" spans="1:18" x14ac:dyDescent="0.3">
      <c r="A28" s="125" t="str">
        <f>IF(Interfaces!A26&lt;&gt;"", Interfaces!A26, "")</f>
        <v/>
      </c>
      <c r="B28" s="389" t="str" cm="1">
        <f t="array" ref="B28">IF($A28&lt;&gt;"",
  IF(Interfaces!C26="Network",
    _xlfn.TEXTJOIN(", "&amp;CHAR(10), TRUE,
     IF(AND(Interfaces!L26&lt;&gt;"", EInfo_GEC2_7[[#This Row],[E.Info.DT.GEC-2]]&lt;&gt;"N/A", EInfo_GEC2_7[[#This Row],[E.Info.DT.GEC-2]]&lt;&gt;""), "E.Info.GEC-2." &amp; _xlfn.TEXTSPLIT(Interfaces!L26,, ", "&amp;CHAR(10))&amp;"Asset", ""),
     IF(AND(Interfaces!L26&lt;&gt;"", EInfo_GEC2_7[[#This Row],[E.Info.DT.GEC-3]]&lt;&gt;"N/A", EInfo_GEC2_7[[#This Row],[E.Info.DT.GEC-3]]&lt;&gt;""), "E.Info.GEC-3." &amp; _xlfn.TEXTSPLIT(Interfaces!L26,, ", "&amp;CHAR(10))&amp;"Asset", ""),
     IF(AND(EInfo_GEC2_7[[#This Row],[E.Info.DT.GEC-6]]&lt;&gt;"N/A", EInfo_GEC2_7[[#This Row],[E.Info.DT.GEC-6]]&lt;&gt;""), "E.Info.GEC-6." &amp; _xlfn.TEXTSPLIT(Interfaces!L26,, ", "&amp;CHAR(10))&amp;"Asset", "")
), "N/A"), "")</f>
        <v/>
      </c>
      <c r="C28" s="110" t="str">
        <f>Interfaces!F26</f>
        <v/>
      </c>
      <c r="D28" s="114"/>
      <c r="E28" s="461"/>
      <c r="F28" s="462"/>
      <c r="G28" s="466" t="str">
        <f>IFERROR(IF($A28&lt;&gt;"",
    _xlfn.TEXTJOIN(", "&amp;CHAR(10), TRUE,
      IF(AND(Interfaces!C26="Network",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IF(AND(Interfaces!C26="Network", EInfo_GEC2_7[[#This Row],[E.Info.DT.GEC-3]]&lt;&gt;"", EInfo_GEC2_7[[#This Row],[E.Info.DT.GEC-3]]&lt;&gt;"N/A"), "E.Info.GEC-3.NetworkInterface.Exposure", ""),
      IF(AND(Interfaces!C26="Network",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28" s="45"/>
      <c r="I28" s="472" t="str">
        <f>IF($A28&lt;&gt;"",
      IF(AND(Interfaces!C26="Network", EInfo_GEC2_7[[#This Row],[E.Info.DT.GEC-4]]&lt;&gt;"", EInfo_GEC2_7[[#This Row],[E.Info.DT.GEC-4]]&lt;&gt;"N/A"), "E.Info.GEC-4.UserDoc.NetworkInterface.Exposure", ""),
      "")</f>
        <v/>
      </c>
      <c r="J28" s="45"/>
      <c r="K28" s="466" t="str">
        <f>IF($A28&lt;&gt;"",
      IF(Interfaces!G26&lt;&gt;"", IF(Interfaces!G26="Yes", _xlfn.TEXTJOIN(", "&amp;CHAR(10), TRUE, "E.Info.GEC-5.PhysicalExternalInterface", "E.Info.GEC-5.PhysicalExternalInterface.Purpose", "E.Info.GEC-5.PhysicalExternalInterface.Type", "E.Info.GEC-5.IntFunc"), "N/A"), ""),
"")</f>
        <v/>
      </c>
      <c r="L28" s="150"/>
      <c r="M28" s="120"/>
      <c r="N28" s="389" t="str">
        <f>IF($A28&lt;&gt;"",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28" s="149"/>
      <c r="P28" s="460"/>
      <c r="Q28" s="389" t="str">
        <f>IF($A28&lt;&gt;"",
        IF(EInfo_GEC2_7[[#This Row],[E.Info.DT.GEC-7]]&lt;&gt;"",
         IF(AND(EInfo_GEC2_7[[#This Row],[E.Info.DT.GEC-7]]&lt;&gt;"N/A", Interfaces!H26="Yes"),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28" s="149"/>
    </row>
    <row r="29" spans="1:18" x14ac:dyDescent="0.3">
      <c r="A29" s="125" t="str">
        <f>IF(Interfaces!A27&lt;&gt;"", Interfaces!A27, "")</f>
        <v/>
      </c>
      <c r="B29" s="389" t="str" cm="1">
        <f t="array" ref="B29">IF($A29&lt;&gt;"",
  IF(Interfaces!C27="Network",
    _xlfn.TEXTJOIN(", "&amp;CHAR(10), TRUE,
     IF(AND(Interfaces!L27&lt;&gt;"", EInfo_GEC2_7[[#This Row],[E.Info.DT.GEC-2]]&lt;&gt;"N/A", EInfo_GEC2_7[[#This Row],[E.Info.DT.GEC-2]]&lt;&gt;""), "E.Info.GEC-2." &amp; _xlfn.TEXTSPLIT(Interfaces!L27,, ", "&amp;CHAR(10))&amp;"Asset", ""),
     IF(AND(Interfaces!L27&lt;&gt;"", EInfo_GEC2_7[[#This Row],[E.Info.DT.GEC-3]]&lt;&gt;"N/A", EInfo_GEC2_7[[#This Row],[E.Info.DT.GEC-3]]&lt;&gt;""), "E.Info.GEC-3." &amp; _xlfn.TEXTSPLIT(Interfaces!L27,, ", "&amp;CHAR(10))&amp;"Asset", ""),
     IF(AND(EInfo_GEC2_7[[#This Row],[E.Info.DT.GEC-6]]&lt;&gt;"N/A", EInfo_GEC2_7[[#This Row],[E.Info.DT.GEC-6]]&lt;&gt;""), "E.Info.GEC-6." &amp; _xlfn.TEXTSPLIT(Interfaces!L27,, ", "&amp;CHAR(10))&amp;"Asset", "")
), "N/A"), "")</f>
        <v/>
      </c>
      <c r="C29" s="110" t="str">
        <f>Interfaces!F27</f>
        <v/>
      </c>
      <c r="D29" s="114"/>
      <c r="E29" s="461"/>
      <c r="F29" s="462"/>
      <c r="G29" s="466" t="str">
        <f>IFERROR(IF($A29&lt;&gt;"",
    _xlfn.TEXTJOIN(", "&amp;CHAR(10), TRUE,
      IF(AND(Interfaces!C27="Network",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IF(AND(Interfaces!C27="Network", EInfo_GEC2_7[[#This Row],[E.Info.DT.GEC-3]]&lt;&gt;"", EInfo_GEC2_7[[#This Row],[E.Info.DT.GEC-3]]&lt;&gt;"N/A"), "E.Info.GEC-3.NetworkInterface.Exposure", ""),
      IF(AND(Interfaces!C27="Network",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29" s="45"/>
      <c r="I29" s="472" t="str">
        <f>IF($A29&lt;&gt;"",
      IF(AND(Interfaces!C27="Network", EInfo_GEC2_7[[#This Row],[E.Info.DT.GEC-4]]&lt;&gt;"", EInfo_GEC2_7[[#This Row],[E.Info.DT.GEC-4]]&lt;&gt;"N/A"), "E.Info.GEC-4.UserDoc.NetworkInterface.Exposure", ""),
      "")</f>
        <v/>
      </c>
      <c r="J29" s="45"/>
      <c r="K29" s="466" t="str">
        <f>IF($A29&lt;&gt;"",
      IF(Interfaces!G27&lt;&gt;"", IF(Interfaces!G27="Yes", _xlfn.TEXTJOIN(", "&amp;CHAR(10), TRUE, "E.Info.GEC-5.PhysicalExternalInterface", "E.Info.GEC-5.PhysicalExternalInterface.Purpose", "E.Info.GEC-5.PhysicalExternalInterface.Type", "E.Info.GEC-5.IntFunc"), "N/A"), ""),
"")</f>
        <v/>
      </c>
      <c r="L29" s="150"/>
      <c r="M29" s="120"/>
      <c r="N29" s="389" t="str">
        <f>IF($A29&lt;&gt;"",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29" s="149"/>
      <c r="P29" s="460"/>
      <c r="Q29" s="389" t="str">
        <f>IF($A29&lt;&gt;"",
        IF(EInfo_GEC2_7[[#This Row],[E.Info.DT.GEC-7]]&lt;&gt;"",
         IF(AND(EInfo_GEC2_7[[#This Row],[E.Info.DT.GEC-7]]&lt;&gt;"N/A", Interfaces!H27="Yes"),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29" s="149"/>
    </row>
    <row r="30" spans="1:18" x14ac:dyDescent="0.3">
      <c r="A30" s="125" t="str">
        <f>IF(Interfaces!A28&lt;&gt;"", Interfaces!A28, "")</f>
        <v/>
      </c>
      <c r="B30" s="389" t="str" cm="1">
        <f t="array" ref="B30">IF($A30&lt;&gt;"",
  IF(Interfaces!C28="Network",
    _xlfn.TEXTJOIN(", "&amp;CHAR(10), TRUE,
     IF(AND(Interfaces!L28&lt;&gt;"", EInfo_GEC2_7[[#This Row],[E.Info.DT.GEC-2]]&lt;&gt;"N/A", EInfo_GEC2_7[[#This Row],[E.Info.DT.GEC-2]]&lt;&gt;""), "E.Info.GEC-2." &amp; _xlfn.TEXTSPLIT(Interfaces!L28,, ", "&amp;CHAR(10))&amp;"Asset", ""),
     IF(AND(Interfaces!L28&lt;&gt;"", EInfo_GEC2_7[[#This Row],[E.Info.DT.GEC-3]]&lt;&gt;"N/A", EInfo_GEC2_7[[#This Row],[E.Info.DT.GEC-3]]&lt;&gt;""), "E.Info.GEC-3." &amp; _xlfn.TEXTSPLIT(Interfaces!L28,, ", "&amp;CHAR(10))&amp;"Asset", ""),
     IF(AND(EInfo_GEC2_7[[#This Row],[E.Info.DT.GEC-6]]&lt;&gt;"N/A", EInfo_GEC2_7[[#This Row],[E.Info.DT.GEC-6]]&lt;&gt;""), "E.Info.GEC-6." &amp; _xlfn.TEXTSPLIT(Interfaces!L28,, ", "&amp;CHAR(10))&amp;"Asset", "")
), "N/A"), "")</f>
        <v/>
      </c>
      <c r="C30" s="110" t="str">
        <f>Interfaces!F28</f>
        <v/>
      </c>
      <c r="D30" s="114"/>
      <c r="E30" s="461"/>
      <c r="F30" s="462"/>
      <c r="G30" s="466" t="str">
        <f>IFERROR(IF($A30&lt;&gt;"",
    _xlfn.TEXTJOIN(", "&amp;CHAR(10), TRUE,
      IF(AND(Interfaces!C28="Network",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IF(AND(Interfaces!C28="Network", EInfo_GEC2_7[[#This Row],[E.Info.DT.GEC-3]]&lt;&gt;"", EInfo_GEC2_7[[#This Row],[E.Info.DT.GEC-3]]&lt;&gt;"N/A"), "E.Info.GEC-3.NetworkInterface.Exposure", ""),
      IF(AND(Interfaces!C28="Network",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30" s="45"/>
      <c r="I30" s="472" t="str">
        <f>IF($A30&lt;&gt;"",
      IF(AND(Interfaces!C28="Network", EInfo_GEC2_7[[#This Row],[E.Info.DT.GEC-4]]&lt;&gt;"", EInfo_GEC2_7[[#This Row],[E.Info.DT.GEC-4]]&lt;&gt;"N/A"), "E.Info.GEC-4.UserDoc.NetworkInterface.Exposure", ""),
      "")</f>
        <v/>
      </c>
      <c r="J30" s="45"/>
      <c r="K30" s="466" t="str">
        <f>IF($A30&lt;&gt;"",
      IF(Interfaces!G28&lt;&gt;"", IF(Interfaces!G28="Yes", _xlfn.TEXTJOIN(", "&amp;CHAR(10), TRUE, "E.Info.GEC-5.PhysicalExternalInterface", "E.Info.GEC-5.PhysicalExternalInterface.Purpose", "E.Info.GEC-5.PhysicalExternalInterface.Type", "E.Info.GEC-5.IntFunc"), "N/A"), ""),
"")</f>
        <v/>
      </c>
      <c r="L30" s="150"/>
      <c r="M30" s="120"/>
      <c r="N30" s="389" t="str">
        <f>IF($A30&lt;&gt;"",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30" s="149"/>
      <c r="P30" s="460"/>
      <c r="Q30" s="389" t="str">
        <f>IF($A30&lt;&gt;"",
        IF(EInfo_GEC2_7[[#This Row],[E.Info.DT.GEC-7]]&lt;&gt;"",
         IF(AND(EInfo_GEC2_7[[#This Row],[E.Info.DT.GEC-7]]&lt;&gt;"N/A", Interfaces!H28="Yes"),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30" s="149"/>
    </row>
    <row r="31" spans="1:18" x14ac:dyDescent="0.3">
      <c r="A31" s="125" t="str">
        <f>IF(Interfaces!A29&lt;&gt;"", Interfaces!A29, "")</f>
        <v/>
      </c>
      <c r="B31" s="389" t="str" cm="1">
        <f t="array" ref="B31">IF($A31&lt;&gt;"",
  IF(Interfaces!C29="Network",
    _xlfn.TEXTJOIN(", "&amp;CHAR(10), TRUE,
     IF(AND(Interfaces!L29&lt;&gt;"", EInfo_GEC2_7[[#This Row],[E.Info.DT.GEC-2]]&lt;&gt;"N/A", EInfo_GEC2_7[[#This Row],[E.Info.DT.GEC-2]]&lt;&gt;""), "E.Info.GEC-2." &amp; _xlfn.TEXTSPLIT(Interfaces!L29,, ", "&amp;CHAR(10))&amp;"Asset", ""),
     IF(AND(Interfaces!L29&lt;&gt;"", EInfo_GEC2_7[[#This Row],[E.Info.DT.GEC-3]]&lt;&gt;"N/A", EInfo_GEC2_7[[#This Row],[E.Info.DT.GEC-3]]&lt;&gt;""), "E.Info.GEC-3." &amp; _xlfn.TEXTSPLIT(Interfaces!L29,, ", "&amp;CHAR(10))&amp;"Asset", ""),
     IF(AND(EInfo_GEC2_7[[#This Row],[E.Info.DT.GEC-6]]&lt;&gt;"N/A", EInfo_GEC2_7[[#This Row],[E.Info.DT.GEC-6]]&lt;&gt;""), "E.Info.GEC-6." &amp; _xlfn.TEXTSPLIT(Interfaces!L29,, ", "&amp;CHAR(10))&amp;"Asset", "")
), "N/A"), "")</f>
        <v/>
      </c>
      <c r="C31" s="110" t="str">
        <f>Interfaces!F29</f>
        <v/>
      </c>
      <c r="D31" s="114"/>
      <c r="E31" s="461"/>
      <c r="F31" s="462"/>
      <c r="G31" s="466" t="str">
        <f>IFERROR(IF($A31&lt;&gt;"",
    _xlfn.TEXTJOIN(", "&amp;CHAR(10), TRUE,
      IF(AND(Interfaces!C29="Network",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IF(AND(Interfaces!C29="Network", EInfo_GEC2_7[[#This Row],[E.Info.DT.GEC-3]]&lt;&gt;"", EInfo_GEC2_7[[#This Row],[E.Info.DT.GEC-3]]&lt;&gt;"N/A"), "E.Info.GEC-3.NetworkInterface.Exposure", ""),
      IF(AND(Interfaces!C29="Network",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31" s="45"/>
      <c r="I31" s="472" t="str">
        <f>IF($A31&lt;&gt;"",
      IF(AND(Interfaces!C29="Network", EInfo_GEC2_7[[#This Row],[E.Info.DT.GEC-4]]&lt;&gt;"", EInfo_GEC2_7[[#This Row],[E.Info.DT.GEC-4]]&lt;&gt;"N/A"), "E.Info.GEC-4.UserDoc.NetworkInterface.Exposure", ""),
      "")</f>
        <v/>
      </c>
      <c r="J31" s="45"/>
      <c r="K31" s="466" t="str">
        <f>IF($A31&lt;&gt;"",
      IF(Interfaces!G29&lt;&gt;"", IF(Interfaces!G29="Yes", _xlfn.TEXTJOIN(", "&amp;CHAR(10), TRUE, "E.Info.GEC-5.PhysicalExternalInterface", "E.Info.GEC-5.PhysicalExternalInterface.Purpose", "E.Info.GEC-5.PhysicalExternalInterface.Type", "E.Info.GEC-5.IntFunc"), "N/A"), ""),
"")</f>
        <v/>
      </c>
      <c r="L31" s="150"/>
      <c r="M31" s="120"/>
      <c r="N31" s="389" t="str">
        <f>IF($A31&lt;&gt;"",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31" s="149"/>
      <c r="P31" s="460"/>
      <c r="Q31" s="389" t="str">
        <f>IF($A31&lt;&gt;"",
        IF(EInfo_GEC2_7[[#This Row],[E.Info.DT.GEC-7]]&lt;&gt;"",
         IF(AND(EInfo_GEC2_7[[#This Row],[E.Info.DT.GEC-7]]&lt;&gt;"N/A", Interfaces!H29="Yes"),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31" s="149"/>
    </row>
    <row r="32" spans="1:18" x14ac:dyDescent="0.3">
      <c r="A32" s="125" t="str">
        <f>IF(Interfaces!A30&lt;&gt;"", Interfaces!A30, "")</f>
        <v/>
      </c>
      <c r="B32" s="389" t="str" cm="1">
        <f t="array" ref="B32">IF($A32&lt;&gt;"",
  IF(Interfaces!C30="Network",
    _xlfn.TEXTJOIN(", "&amp;CHAR(10), TRUE,
     IF(AND(Interfaces!L30&lt;&gt;"", EInfo_GEC2_7[[#This Row],[E.Info.DT.GEC-2]]&lt;&gt;"N/A", EInfo_GEC2_7[[#This Row],[E.Info.DT.GEC-2]]&lt;&gt;""), "E.Info.GEC-2." &amp; _xlfn.TEXTSPLIT(Interfaces!L30,, ", "&amp;CHAR(10))&amp;"Asset", ""),
     IF(AND(Interfaces!L30&lt;&gt;"", EInfo_GEC2_7[[#This Row],[E.Info.DT.GEC-3]]&lt;&gt;"N/A", EInfo_GEC2_7[[#This Row],[E.Info.DT.GEC-3]]&lt;&gt;""), "E.Info.GEC-3." &amp; _xlfn.TEXTSPLIT(Interfaces!L30,, ", "&amp;CHAR(10))&amp;"Asset", ""),
     IF(AND(EInfo_GEC2_7[[#This Row],[E.Info.DT.GEC-6]]&lt;&gt;"N/A", EInfo_GEC2_7[[#This Row],[E.Info.DT.GEC-6]]&lt;&gt;""), "E.Info.GEC-6." &amp; _xlfn.TEXTSPLIT(Interfaces!L30,, ", "&amp;CHAR(10))&amp;"Asset", "")
), "N/A"), "")</f>
        <v/>
      </c>
      <c r="C32" s="110" t="str">
        <f>Interfaces!F30</f>
        <v/>
      </c>
      <c r="D32" s="114"/>
      <c r="E32" s="461"/>
      <c r="F32" s="462"/>
      <c r="G32" s="466" t="str">
        <f>IFERROR(IF($A32&lt;&gt;"",
    _xlfn.TEXTJOIN(", "&amp;CHAR(10), TRUE,
      IF(AND(Interfaces!C30="Network",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IF(AND(Interfaces!C30="Network", EInfo_GEC2_7[[#This Row],[E.Info.DT.GEC-3]]&lt;&gt;"", EInfo_GEC2_7[[#This Row],[E.Info.DT.GEC-3]]&lt;&gt;"N/A"), "E.Info.GEC-3.NetworkInterface.Exposure", ""),
      IF(AND(Interfaces!C30="Network",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32" s="45"/>
      <c r="I32" s="472" t="str">
        <f>IF($A32&lt;&gt;"",
      IF(AND(Interfaces!C30="Network", EInfo_GEC2_7[[#This Row],[E.Info.DT.GEC-4]]&lt;&gt;"", EInfo_GEC2_7[[#This Row],[E.Info.DT.GEC-4]]&lt;&gt;"N/A"), "E.Info.GEC-4.UserDoc.NetworkInterface.Exposure", ""),
      "")</f>
        <v/>
      </c>
      <c r="J32" s="45"/>
      <c r="K32" s="466" t="str">
        <f>IF($A32&lt;&gt;"",
      IF(Interfaces!G30&lt;&gt;"", IF(Interfaces!G30="Yes", _xlfn.TEXTJOIN(", "&amp;CHAR(10), TRUE, "E.Info.GEC-5.PhysicalExternalInterface", "E.Info.GEC-5.PhysicalExternalInterface.Purpose", "E.Info.GEC-5.PhysicalExternalInterface.Type", "E.Info.GEC-5.IntFunc"), "N/A"), ""),
"")</f>
        <v/>
      </c>
      <c r="L32" s="150"/>
      <c r="M32" s="120"/>
      <c r="N32" s="389" t="str">
        <f>IF($A32&lt;&gt;"",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32" s="149"/>
      <c r="P32" s="460"/>
      <c r="Q32" s="389" t="str">
        <f>IF($A32&lt;&gt;"",
        IF(EInfo_GEC2_7[[#This Row],[E.Info.DT.GEC-7]]&lt;&gt;"",
         IF(AND(EInfo_GEC2_7[[#This Row],[E.Info.DT.GEC-7]]&lt;&gt;"N/A", Interfaces!H30="Yes"),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32" s="149"/>
    </row>
    <row r="33" spans="1:18" x14ac:dyDescent="0.3">
      <c r="A33" s="125" t="str">
        <f>IF(Interfaces!A31&lt;&gt;"", Interfaces!A31, "")</f>
        <v/>
      </c>
      <c r="B33" s="389" t="str" cm="1">
        <f t="array" ref="B33">IF($A33&lt;&gt;"",
  IF(Interfaces!C31="Network",
    _xlfn.TEXTJOIN(", "&amp;CHAR(10), TRUE,
     IF(AND(Interfaces!L31&lt;&gt;"", EInfo_GEC2_7[[#This Row],[E.Info.DT.GEC-2]]&lt;&gt;"N/A", EInfo_GEC2_7[[#This Row],[E.Info.DT.GEC-2]]&lt;&gt;""), "E.Info.GEC-2." &amp; _xlfn.TEXTSPLIT(Interfaces!L31,, ", "&amp;CHAR(10))&amp;"Asset", ""),
     IF(AND(Interfaces!L31&lt;&gt;"", EInfo_GEC2_7[[#This Row],[E.Info.DT.GEC-3]]&lt;&gt;"N/A", EInfo_GEC2_7[[#This Row],[E.Info.DT.GEC-3]]&lt;&gt;""), "E.Info.GEC-3." &amp; _xlfn.TEXTSPLIT(Interfaces!L31,, ", "&amp;CHAR(10))&amp;"Asset", ""),
     IF(AND(EInfo_GEC2_7[[#This Row],[E.Info.DT.GEC-6]]&lt;&gt;"N/A", EInfo_GEC2_7[[#This Row],[E.Info.DT.GEC-6]]&lt;&gt;""), "E.Info.GEC-6." &amp; _xlfn.TEXTSPLIT(Interfaces!L31,, ", "&amp;CHAR(10))&amp;"Asset", "")
), "N/A"), "")</f>
        <v/>
      </c>
      <c r="C33" s="110" t="str">
        <f>Interfaces!F31</f>
        <v/>
      </c>
      <c r="D33" s="114"/>
      <c r="E33" s="461"/>
      <c r="F33" s="462"/>
      <c r="G33" s="466" t="str">
        <f>IFERROR(IF($A33&lt;&gt;"",
    _xlfn.TEXTJOIN(", "&amp;CHAR(10), TRUE,
      IF(AND(Interfaces!C31="Network",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IF(AND(Interfaces!C31="Network", EInfo_GEC2_7[[#This Row],[E.Info.DT.GEC-3]]&lt;&gt;"", EInfo_GEC2_7[[#This Row],[E.Info.DT.GEC-3]]&lt;&gt;"N/A"), "E.Info.GEC-3.NetworkInterface.Exposure", ""),
      IF(AND(Interfaces!C31="Network",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33" s="45"/>
      <c r="I33" s="472" t="str">
        <f>IF($A33&lt;&gt;"",
      IF(AND(Interfaces!C31="Network", EInfo_GEC2_7[[#This Row],[E.Info.DT.GEC-4]]&lt;&gt;"", EInfo_GEC2_7[[#This Row],[E.Info.DT.GEC-4]]&lt;&gt;"N/A"), "E.Info.GEC-4.UserDoc.NetworkInterface.Exposure", ""),
      "")</f>
        <v/>
      </c>
      <c r="J33" s="45"/>
      <c r="K33" s="466" t="str">
        <f>IF($A33&lt;&gt;"",
      IF(Interfaces!G31&lt;&gt;"", IF(Interfaces!G31="Yes", _xlfn.TEXTJOIN(", "&amp;CHAR(10), TRUE, "E.Info.GEC-5.PhysicalExternalInterface", "E.Info.GEC-5.PhysicalExternalInterface.Purpose", "E.Info.GEC-5.PhysicalExternalInterface.Type", "E.Info.GEC-5.IntFunc"), "N/A"), ""),
"")</f>
        <v/>
      </c>
      <c r="L33" s="150"/>
      <c r="M33" s="120"/>
      <c r="N33" s="389" t="str">
        <f>IF($A33&lt;&gt;"",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33" s="149"/>
      <c r="P33" s="460"/>
      <c r="Q33" s="389" t="str">
        <f>IF($A33&lt;&gt;"",
        IF(EInfo_GEC2_7[[#This Row],[E.Info.DT.GEC-7]]&lt;&gt;"",
         IF(AND(EInfo_GEC2_7[[#This Row],[E.Info.DT.GEC-7]]&lt;&gt;"N/A", Interfaces!H31="Yes"),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33" s="149"/>
    </row>
    <row r="34" spans="1:18" x14ac:dyDescent="0.3">
      <c r="A34" s="125" t="str">
        <f>IF(Interfaces!A32&lt;&gt;"", Interfaces!A32, "")</f>
        <v/>
      </c>
      <c r="B34" s="389" t="str" cm="1">
        <f t="array" ref="B34">IF($A34&lt;&gt;"",
  IF(Interfaces!C32="Network",
    _xlfn.TEXTJOIN(", "&amp;CHAR(10), TRUE,
     IF(AND(Interfaces!L32&lt;&gt;"", EInfo_GEC2_7[[#This Row],[E.Info.DT.GEC-2]]&lt;&gt;"N/A", EInfo_GEC2_7[[#This Row],[E.Info.DT.GEC-2]]&lt;&gt;""), "E.Info.GEC-2." &amp; _xlfn.TEXTSPLIT(Interfaces!L32,, ", "&amp;CHAR(10))&amp;"Asset", ""),
     IF(AND(Interfaces!L32&lt;&gt;"", EInfo_GEC2_7[[#This Row],[E.Info.DT.GEC-3]]&lt;&gt;"N/A", EInfo_GEC2_7[[#This Row],[E.Info.DT.GEC-3]]&lt;&gt;""), "E.Info.GEC-3." &amp; _xlfn.TEXTSPLIT(Interfaces!L32,, ", "&amp;CHAR(10))&amp;"Asset", ""),
     IF(AND(EInfo_GEC2_7[[#This Row],[E.Info.DT.GEC-6]]&lt;&gt;"N/A", EInfo_GEC2_7[[#This Row],[E.Info.DT.GEC-6]]&lt;&gt;""), "E.Info.GEC-6." &amp; _xlfn.TEXTSPLIT(Interfaces!L32,, ", "&amp;CHAR(10))&amp;"Asset", "")
), "N/A"), "")</f>
        <v/>
      </c>
      <c r="C34" s="110" t="str">
        <f>Interfaces!F32</f>
        <v/>
      </c>
      <c r="D34" s="114"/>
      <c r="E34" s="461"/>
      <c r="F34" s="462"/>
      <c r="G34" s="466" t="str">
        <f>IFERROR(IF($A34&lt;&gt;"",
    _xlfn.TEXTJOIN(", "&amp;CHAR(10), TRUE,
      IF(AND(Interfaces!C32="Network",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IF(AND(Interfaces!C32="Network", EInfo_GEC2_7[[#This Row],[E.Info.DT.GEC-3]]&lt;&gt;"", EInfo_GEC2_7[[#This Row],[E.Info.DT.GEC-3]]&lt;&gt;"N/A"), "E.Info.GEC-3.NetworkInterface.Exposure", ""),
      IF(AND(Interfaces!C32="Network",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34" s="45"/>
      <c r="I34" s="472" t="str">
        <f>IF($A34&lt;&gt;"",
      IF(AND(Interfaces!C32="Network", EInfo_GEC2_7[[#This Row],[E.Info.DT.GEC-4]]&lt;&gt;"", EInfo_GEC2_7[[#This Row],[E.Info.DT.GEC-4]]&lt;&gt;"N/A"), "E.Info.GEC-4.UserDoc.NetworkInterface.Exposure", ""),
      "")</f>
        <v/>
      </c>
      <c r="J34" s="45"/>
      <c r="K34" s="466" t="str">
        <f>IF($A34&lt;&gt;"",
      IF(Interfaces!G32&lt;&gt;"", IF(Interfaces!G32="Yes", _xlfn.TEXTJOIN(", "&amp;CHAR(10), TRUE, "E.Info.GEC-5.PhysicalExternalInterface", "E.Info.GEC-5.PhysicalExternalInterface.Purpose", "E.Info.GEC-5.PhysicalExternalInterface.Type", "E.Info.GEC-5.IntFunc"), "N/A"), ""),
"")</f>
        <v/>
      </c>
      <c r="L34" s="150"/>
      <c r="M34" s="120"/>
      <c r="N34" s="389" t="str">
        <f>IF($A34&lt;&gt;"",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34" s="149"/>
      <c r="P34" s="460"/>
      <c r="Q34" s="389" t="str">
        <f>IF($A34&lt;&gt;"",
        IF(EInfo_GEC2_7[[#This Row],[E.Info.DT.GEC-7]]&lt;&gt;"",
         IF(AND(EInfo_GEC2_7[[#This Row],[E.Info.DT.GEC-7]]&lt;&gt;"N/A", Interfaces!H32="Yes"),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34" s="149"/>
    </row>
    <row r="35" spans="1:18" x14ac:dyDescent="0.3">
      <c r="A35" s="125" t="str">
        <f>IF(Interfaces!A33&lt;&gt;"", Interfaces!A33, "")</f>
        <v/>
      </c>
      <c r="B35" s="389" t="str" cm="1">
        <f t="array" ref="B35">IF($A35&lt;&gt;"",
  IF(Interfaces!C33="Network",
    _xlfn.TEXTJOIN(", "&amp;CHAR(10), TRUE,
     IF(AND(Interfaces!L33&lt;&gt;"", EInfo_GEC2_7[[#This Row],[E.Info.DT.GEC-2]]&lt;&gt;"N/A", EInfo_GEC2_7[[#This Row],[E.Info.DT.GEC-2]]&lt;&gt;""), "E.Info.GEC-2." &amp; _xlfn.TEXTSPLIT(Interfaces!L33,, ", "&amp;CHAR(10))&amp;"Asset", ""),
     IF(AND(Interfaces!L33&lt;&gt;"", EInfo_GEC2_7[[#This Row],[E.Info.DT.GEC-3]]&lt;&gt;"N/A", EInfo_GEC2_7[[#This Row],[E.Info.DT.GEC-3]]&lt;&gt;""), "E.Info.GEC-3." &amp; _xlfn.TEXTSPLIT(Interfaces!L33,, ", "&amp;CHAR(10))&amp;"Asset", ""),
     IF(AND(EInfo_GEC2_7[[#This Row],[E.Info.DT.GEC-6]]&lt;&gt;"N/A", EInfo_GEC2_7[[#This Row],[E.Info.DT.GEC-6]]&lt;&gt;""), "E.Info.GEC-6." &amp; _xlfn.TEXTSPLIT(Interfaces!L33,, ", "&amp;CHAR(10))&amp;"Asset", "")
), "N/A"), "")</f>
        <v/>
      </c>
      <c r="C35" s="110" t="str">
        <f>Interfaces!F33</f>
        <v/>
      </c>
      <c r="D35" s="114"/>
      <c r="E35" s="461"/>
      <c r="F35" s="462"/>
      <c r="G35" s="466" t="str">
        <f>IFERROR(IF($A35&lt;&gt;"",
    _xlfn.TEXTJOIN(", "&amp;CHAR(10), TRUE,
      IF(AND(Interfaces!C33="Network",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IF(AND(Interfaces!C33="Network", EInfo_GEC2_7[[#This Row],[E.Info.DT.GEC-3]]&lt;&gt;"", EInfo_GEC2_7[[#This Row],[E.Info.DT.GEC-3]]&lt;&gt;"N/A"), "E.Info.GEC-3.NetworkInterface.Exposure", ""),
      IF(AND(Interfaces!C33="Network",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35" s="45"/>
      <c r="I35" s="472" t="str">
        <f>IF($A35&lt;&gt;"",
      IF(AND(Interfaces!C33="Network", EInfo_GEC2_7[[#This Row],[E.Info.DT.GEC-4]]&lt;&gt;"", EInfo_GEC2_7[[#This Row],[E.Info.DT.GEC-4]]&lt;&gt;"N/A"), "E.Info.GEC-4.UserDoc.NetworkInterface.Exposure", ""),
      "")</f>
        <v/>
      </c>
      <c r="J35" s="45"/>
      <c r="K35" s="466" t="str">
        <f>IF($A35&lt;&gt;"",
      IF(Interfaces!G33&lt;&gt;"", IF(Interfaces!G33="Yes", _xlfn.TEXTJOIN(", "&amp;CHAR(10), TRUE, "E.Info.GEC-5.PhysicalExternalInterface", "E.Info.GEC-5.PhysicalExternalInterface.Purpose", "E.Info.GEC-5.PhysicalExternalInterface.Type", "E.Info.GEC-5.IntFunc"), "N/A"), ""),
"")</f>
        <v/>
      </c>
      <c r="L35" s="150"/>
      <c r="M35" s="120"/>
      <c r="N35" s="389" t="str">
        <f>IF($A35&lt;&gt;"",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35" s="149"/>
      <c r="P35" s="460"/>
      <c r="Q35" s="389" t="str">
        <f>IF($A35&lt;&gt;"",
        IF(EInfo_GEC2_7[[#This Row],[E.Info.DT.GEC-7]]&lt;&gt;"",
         IF(AND(EInfo_GEC2_7[[#This Row],[E.Info.DT.GEC-7]]&lt;&gt;"N/A", Interfaces!H33="Yes"),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35" s="149"/>
    </row>
    <row r="36" spans="1:18" x14ac:dyDescent="0.3">
      <c r="A36" s="125" t="str">
        <f>IF(Interfaces!A34&lt;&gt;"", Interfaces!A34, "")</f>
        <v/>
      </c>
      <c r="B36" s="389" t="str" cm="1">
        <f t="array" ref="B36">IF($A36&lt;&gt;"",
  IF(Interfaces!C34="Network",
    _xlfn.TEXTJOIN(", "&amp;CHAR(10), TRUE,
     IF(AND(Interfaces!L34&lt;&gt;"", EInfo_GEC2_7[[#This Row],[E.Info.DT.GEC-2]]&lt;&gt;"N/A", EInfo_GEC2_7[[#This Row],[E.Info.DT.GEC-2]]&lt;&gt;""), "E.Info.GEC-2." &amp; _xlfn.TEXTSPLIT(Interfaces!L34,, ", "&amp;CHAR(10))&amp;"Asset", ""),
     IF(AND(Interfaces!L34&lt;&gt;"", EInfo_GEC2_7[[#This Row],[E.Info.DT.GEC-3]]&lt;&gt;"N/A", EInfo_GEC2_7[[#This Row],[E.Info.DT.GEC-3]]&lt;&gt;""), "E.Info.GEC-3." &amp; _xlfn.TEXTSPLIT(Interfaces!L34,, ", "&amp;CHAR(10))&amp;"Asset", ""),
     IF(AND(EInfo_GEC2_7[[#This Row],[E.Info.DT.GEC-6]]&lt;&gt;"N/A", EInfo_GEC2_7[[#This Row],[E.Info.DT.GEC-6]]&lt;&gt;""), "E.Info.GEC-6." &amp; _xlfn.TEXTSPLIT(Interfaces!L34,, ", "&amp;CHAR(10))&amp;"Asset", "")
), "N/A"), "")</f>
        <v/>
      </c>
      <c r="C36" s="110" t="str">
        <f>Interfaces!F34</f>
        <v/>
      </c>
      <c r="D36" s="114"/>
      <c r="E36" s="461"/>
      <c r="F36" s="462"/>
      <c r="G36" s="466" t="str">
        <f>IFERROR(IF($A36&lt;&gt;"",
    _xlfn.TEXTJOIN(", "&amp;CHAR(10), TRUE,
      IF(AND(Interfaces!C34="Network",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IF(AND(Interfaces!C34="Network", EInfo_GEC2_7[[#This Row],[E.Info.DT.GEC-3]]&lt;&gt;"", EInfo_GEC2_7[[#This Row],[E.Info.DT.GEC-3]]&lt;&gt;"N/A"), "E.Info.GEC-3.NetworkInterface.Exposure", ""),
      IF(AND(Interfaces!C34="Network",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36" s="45"/>
      <c r="I36" s="472" t="str">
        <f>IF($A36&lt;&gt;"",
      IF(AND(Interfaces!C34="Network", EInfo_GEC2_7[[#This Row],[E.Info.DT.GEC-4]]&lt;&gt;"", EInfo_GEC2_7[[#This Row],[E.Info.DT.GEC-4]]&lt;&gt;"N/A"), "E.Info.GEC-4.UserDoc.NetworkInterface.Exposure", ""),
      "")</f>
        <v/>
      </c>
      <c r="J36" s="45"/>
      <c r="K36" s="466" t="str">
        <f>IF($A36&lt;&gt;"",
      IF(Interfaces!G34&lt;&gt;"", IF(Interfaces!G34="Yes", _xlfn.TEXTJOIN(", "&amp;CHAR(10), TRUE, "E.Info.GEC-5.PhysicalExternalInterface", "E.Info.GEC-5.PhysicalExternalInterface.Purpose", "E.Info.GEC-5.PhysicalExternalInterface.Type", "E.Info.GEC-5.IntFunc"), "N/A"), ""),
"")</f>
        <v/>
      </c>
      <c r="L36" s="150"/>
      <c r="M36" s="120"/>
      <c r="N36" s="389" t="str">
        <f>IF($A36&lt;&gt;"",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36" s="149"/>
      <c r="P36" s="460"/>
      <c r="Q36" s="389" t="str">
        <f>IF($A36&lt;&gt;"",
        IF(EInfo_GEC2_7[[#This Row],[E.Info.DT.GEC-7]]&lt;&gt;"",
         IF(AND(EInfo_GEC2_7[[#This Row],[E.Info.DT.GEC-7]]&lt;&gt;"N/A", Interfaces!H34="Yes"),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36" s="149"/>
    </row>
    <row r="37" spans="1:18" x14ac:dyDescent="0.3">
      <c r="A37" s="125" t="str">
        <f>IF(Interfaces!A35&lt;&gt;"", Interfaces!A35, "")</f>
        <v/>
      </c>
      <c r="B37" s="389" t="str" cm="1">
        <f t="array" ref="B37">IF($A37&lt;&gt;"",
  IF(Interfaces!C35="Network",
    _xlfn.TEXTJOIN(", "&amp;CHAR(10), TRUE,
     IF(AND(Interfaces!L35&lt;&gt;"", EInfo_GEC2_7[[#This Row],[E.Info.DT.GEC-2]]&lt;&gt;"N/A", EInfo_GEC2_7[[#This Row],[E.Info.DT.GEC-2]]&lt;&gt;""), "E.Info.GEC-2." &amp; _xlfn.TEXTSPLIT(Interfaces!L35,, ", "&amp;CHAR(10))&amp;"Asset", ""),
     IF(AND(Interfaces!L35&lt;&gt;"", EInfo_GEC2_7[[#This Row],[E.Info.DT.GEC-3]]&lt;&gt;"N/A", EInfo_GEC2_7[[#This Row],[E.Info.DT.GEC-3]]&lt;&gt;""), "E.Info.GEC-3." &amp; _xlfn.TEXTSPLIT(Interfaces!L35,, ", "&amp;CHAR(10))&amp;"Asset", ""),
     IF(AND(EInfo_GEC2_7[[#This Row],[E.Info.DT.GEC-6]]&lt;&gt;"N/A", EInfo_GEC2_7[[#This Row],[E.Info.DT.GEC-6]]&lt;&gt;""), "E.Info.GEC-6." &amp; _xlfn.TEXTSPLIT(Interfaces!L35,, ", "&amp;CHAR(10))&amp;"Asset", "")
), "N/A"), "")</f>
        <v/>
      </c>
      <c r="C37" s="110" t="str">
        <f>Interfaces!F35</f>
        <v/>
      </c>
      <c r="D37" s="114"/>
      <c r="E37" s="461"/>
      <c r="F37" s="462"/>
      <c r="G37" s="466" t="str">
        <f>IFERROR(IF($A37&lt;&gt;"",
    _xlfn.TEXTJOIN(", "&amp;CHAR(10), TRUE,
      IF(AND(Interfaces!C35="Network",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IF(AND(Interfaces!C35="Network", EInfo_GEC2_7[[#This Row],[E.Info.DT.GEC-3]]&lt;&gt;"", EInfo_GEC2_7[[#This Row],[E.Info.DT.GEC-3]]&lt;&gt;"N/A"), "E.Info.GEC-3.NetworkInterface.Exposure", ""),
      IF(AND(Interfaces!C35="Network",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37" s="45"/>
      <c r="I37" s="472" t="str">
        <f>IF($A37&lt;&gt;"",
      IF(AND(Interfaces!C35="Network", EInfo_GEC2_7[[#This Row],[E.Info.DT.GEC-4]]&lt;&gt;"", EInfo_GEC2_7[[#This Row],[E.Info.DT.GEC-4]]&lt;&gt;"N/A"), "E.Info.GEC-4.UserDoc.NetworkInterface.Exposure", ""),
      "")</f>
        <v/>
      </c>
      <c r="J37" s="45"/>
      <c r="K37" s="466" t="str">
        <f>IF($A37&lt;&gt;"",
      IF(Interfaces!G35&lt;&gt;"", IF(Interfaces!G35="Yes", _xlfn.TEXTJOIN(", "&amp;CHAR(10), TRUE, "E.Info.GEC-5.PhysicalExternalInterface", "E.Info.GEC-5.PhysicalExternalInterface.Purpose", "E.Info.GEC-5.PhysicalExternalInterface.Type", "E.Info.GEC-5.IntFunc"), "N/A"), ""),
"")</f>
        <v/>
      </c>
      <c r="L37" s="150"/>
      <c r="M37" s="120"/>
      <c r="N37" s="389" t="str">
        <f>IF($A37&lt;&gt;"",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37" s="149"/>
      <c r="P37" s="460"/>
      <c r="Q37" s="389" t="str">
        <f>IF($A37&lt;&gt;"",
        IF(EInfo_GEC2_7[[#This Row],[E.Info.DT.GEC-7]]&lt;&gt;"",
         IF(AND(EInfo_GEC2_7[[#This Row],[E.Info.DT.GEC-7]]&lt;&gt;"N/A", Interfaces!H35="Yes"),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37" s="149"/>
    </row>
    <row r="38" spans="1:18" x14ac:dyDescent="0.3">
      <c r="A38" s="125" t="str">
        <f>IF(Interfaces!A36&lt;&gt;"", Interfaces!A36, "")</f>
        <v/>
      </c>
      <c r="B38" s="389" t="str" cm="1">
        <f t="array" ref="B38">IF($A38&lt;&gt;"",
  IF(Interfaces!C36="Network",
    _xlfn.TEXTJOIN(", "&amp;CHAR(10), TRUE,
     IF(AND(Interfaces!L36&lt;&gt;"", EInfo_GEC2_7[[#This Row],[E.Info.DT.GEC-2]]&lt;&gt;"N/A", EInfo_GEC2_7[[#This Row],[E.Info.DT.GEC-2]]&lt;&gt;""), "E.Info.GEC-2." &amp; _xlfn.TEXTSPLIT(Interfaces!L36,, ", "&amp;CHAR(10))&amp;"Asset", ""),
     IF(AND(Interfaces!L36&lt;&gt;"", EInfo_GEC2_7[[#This Row],[E.Info.DT.GEC-3]]&lt;&gt;"N/A", EInfo_GEC2_7[[#This Row],[E.Info.DT.GEC-3]]&lt;&gt;""), "E.Info.GEC-3." &amp; _xlfn.TEXTSPLIT(Interfaces!L36,, ", "&amp;CHAR(10))&amp;"Asset", ""),
     IF(AND(EInfo_GEC2_7[[#This Row],[E.Info.DT.GEC-6]]&lt;&gt;"N/A", EInfo_GEC2_7[[#This Row],[E.Info.DT.GEC-6]]&lt;&gt;""), "E.Info.GEC-6." &amp; _xlfn.TEXTSPLIT(Interfaces!L36,, ", "&amp;CHAR(10))&amp;"Asset", "")
), "N/A"), "")</f>
        <v/>
      </c>
      <c r="C38" s="110" t="str">
        <f>Interfaces!F36</f>
        <v/>
      </c>
      <c r="D38" s="114"/>
      <c r="E38" s="461"/>
      <c r="F38" s="462"/>
      <c r="G38" s="466" t="str">
        <f>IFERROR(IF($A38&lt;&gt;"",
    _xlfn.TEXTJOIN(", "&amp;CHAR(10), TRUE,
      IF(AND(Interfaces!C36="Network",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IF(AND(Interfaces!C36="Network", EInfo_GEC2_7[[#This Row],[E.Info.DT.GEC-3]]&lt;&gt;"", EInfo_GEC2_7[[#This Row],[E.Info.DT.GEC-3]]&lt;&gt;"N/A"), "E.Info.GEC-3.NetworkInterface.Exposure", ""),
      IF(AND(Interfaces!C36="Network",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38" s="45"/>
      <c r="I38" s="472" t="str">
        <f>IF($A38&lt;&gt;"",
      IF(AND(Interfaces!C36="Network", EInfo_GEC2_7[[#This Row],[E.Info.DT.GEC-4]]&lt;&gt;"", EInfo_GEC2_7[[#This Row],[E.Info.DT.GEC-4]]&lt;&gt;"N/A"), "E.Info.GEC-4.UserDoc.NetworkInterface.Exposure", ""),
      "")</f>
        <v/>
      </c>
      <c r="J38" s="45"/>
      <c r="K38" s="466" t="str">
        <f>IF($A38&lt;&gt;"",
      IF(Interfaces!G36&lt;&gt;"", IF(Interfaces!G36="Yes", _xlfn.TEXTJOIN(", "&amp;CHAR(10), TRUE, "E.Info.GEC-5.PhysicalExternalInterface", "E.Info.GEC-5.PhysicalExternalInterface.Purpose", "E.Info.GEC-5.PhysicalExternalInterface.Type", "E.Info.GEC-5.IntFunc"), "N/A"), ""),
"")</f>
        <v/>
      </c>
      <c r="L38" s="150"/>
      <c r="M38" s="120"/>
      <c r="N38" s="389" t="str">
        <f>IF($A38&lt;&gt;"",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38" s="149"/>
      <c r="P38" s="460"/>
      <c r="Q38" s="389" t="str">
        <f>IF($A38&lt;&gt;"",
        IF(EInfo_GEC2_7[[#This Row],[E.Info.DT.GEC-7]]&lt;&gt;"",
         IF(AND(EInfo_GEC2_7[[#This Row],[E.Info.DT.GEC-7]]&lt;&gt;"N/A", Interfaces!H36="Yes"),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38" s="149"/>
    </row>
    <row r="39" spans="1:18" x14ac:dyDescent="0.3">
      <c r="A39" s="125" t="str">
        <f>IF(Interfaces!A37&lt;&gt;"", Interfaces!A37, "")</f>
        <v/>
      </c>
      <c r="B39" s="389" t="str" cm="1">
        <f t="array" ref="B39">IF($A39&lt;&gt;"",
  IF(Interfaces!C37="Network",
    _xlfn.TEXTJOIN(", "&amp;CHAR(10), TRUE,
     IF(AND(Interfaces!L37&lt;&gt;"", EInfo_GEC2_7[[#This Row],[E.Info.DT.GEC-2]]&lt;&gt;"N/A", EInfo_GEC2_7[[#This Row],[E.Info.DT.GEC-2]]&lt;&gt;""), "E.Info.GEC-2." &amp; _xlfn.TEXTSPLIT(Interfaces!L37,, ", "&amp;CHAR(10))&amp;"Asset", ""),
     IF(AND(Interfaces!L37&lt;&gt;"", EInfo_GEC2_7[[#This Row],[E.Info.DT.GEC-3]]&lt;&gt;"N/A", EInfo_GEC2_7[[#This Row],[E.Info.DT.GEC-3]]&lt;&gt;""), "E.Info.GEC-3." &amp; _xlfn.TEXTSPLIT(Interfaces!L37,, ", "&amp;CHAR(10))&amp;"Asset", ""),
     IF(AND(EInfo_GEC2_7[[#This Row],[E.Info.DT.GEC-6]]&lt;&gt;"N/A", EInfo_GEC2_7[[#This Row],[E.Info.DT.GEC-6]]&lt;&gt;""), "E.Info.GEC-6." &amp; _xlfn.TEXTSPLIT(Interfaces!L37,, ", "&amp;CHAR(10))&amp;"Asset", "")
), "N/A"), "")</f>
        <v/>
      </c>
      <c r="C39" s="110" t="str">
        <f>Interfaces!F37</f>
        <v/>
      </c>
      <c r="D39" s="114"/>
      <c r="E39" s="461"/>
      <c r="F39" s="462"/>
      <c r="G39" s="466" t="str">
        <f>IFERROR(IF($A39&lt;&gt;"",
    _xlfn.TEXTJOIN(", "&amp;CHAR(10), TRUE,
      IF(AND(Interfaces!C37="Network",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IF(AND(Interfaces!C37="Network", EInfo_GEC2_7[[#This Row],[E.Info.DT.GEC-3]]&lt;&gt;"", EInfo_GEC2_7[[#This Row],[E.Info.DT.GEC-3]]&lt;&gt;"N/A"), "E.Info.GEC-3.NetworkInterface.Exposure", ""),
      IF(AND(Interfaces!C37="Network",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39" s="45"/>
      <c r="I39" s="472" t="str">
        <f>IF($A39&lt;&gt;"",
      IF(AND(Interfaces!C37="Network", EInfo_GEC2_7[[#This Row],[E.Info.DT.GEC-4]]&lt;&gt;"", EInfo_GEC2_7[[#This Row],[E.Info.DT.GEC-4]]&lt;&gt;"N/A"), "E.Info.GEC-4.UserDoc.NetworkInterface.Exposure", ""),
      "")</f>
        <v/>
      </c>
      <c r="J39" s="45"/>
      <c r="K39" s="466" t="str">
        <f>IF($A39&lt;&gt;"",
      IF(Interfaces!G37&lt;&gt;"", IF(Interfaces!G37="Yes", _xlfn.TEXTJOIN(", "&amp;CHAR(10), TRUE, "E.Info.GEC-5.PhysicalExternalInterface", "E.Info.GEC-5.PhysicalExternalInterface.Purpose", "E.Info.GEC-5.PhysicalExternalInterface.Type", "E.Info.GEC-5.IntFunc"), "N/A"), ""),
"")</f>
        <v/>
      </c>
      <c r="L39" s="150"/>
      <c r="M39" s="120"/>
      <c r="N39" s="389" t="str">
        <f>IF($A39&lt;&gt;"",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39" s="149"/>
      <c r="P39" s="460"/>
      <c r="Q39" s="389" t="str">
        <f>IF($A39&lt;&gt;"",
        IF(EInfo_GEC2_7[[#This Row],[E.Info.DT.GEC-7]]&lt;&gt;"",
         IF(AND(EInfo_GEC2_7[[#This Row],[E.Info.DT.GEC-7]]&lt;&gt;"N/A", Interfaces!H37="Yes"),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39" s="149"/>
    </row>
    <row r="40" spans="1:18" x14ac:dyDescent="0.3">
      <c r="A40" s="125" t="str">
        <f>IF(Interfaces!A38&lt;&gt;"", Interfaces!A38, "")</f>
        <v/>
      </c>
      <c r="B40" s="389" t="str" cm="1">
        <f t="array" ref="B40">IF($A40&lt;&gt;"",
  IF(Interfaces!C38="Network",
    _xlfn.TEXTJOIN(", "&amp;CHAR(10), TRUE,
     IF(AND(Interfaces!L38&lt;&gt;"", EInfo_GEC2_7[[#This Row],[E.Info.DT.GEC-2]]&lt;&gt;"N/A", EInfo_GEC2_7[[#This Row],[E.Info.DT.GEC-2]]&lt;&gt;""), "E.Info.GEC-2." &amp; _xlfn.TEXTSPLIT(Interfaces!L38,, ", "&amp;CHAR(10))&amp;"Asset", ""),
     IF(AND(Interfaces!L38&lt;&gt;"", EInfo_GEC2_7[[#This Row],[E.Info.DT.GEC-3]]&lt;&gt;"N/A", EInfo_GEC2_7[[#This Row],[E.Info.DT.GEC-3]]&lt;&gt;""), "E.Info.GEC-3." &amp; _xlfn.TEXTSPLIT(Interfaces!L38,, ", "&amp;CHAR(10))&amp;"Asset", ""),
     IF(AND(EInfo_GEC2_7[[#This Row],[E.Info.DT.GEC-6]]&lt;&gt;"N/A", EInfo_GEC2_7[[#This Row],[E.Info.DT.GEC-6]]&lt;&gt;""), "E.Info.GEC-6." &amp; _xlfn.TEXTSPLIT(Interfaces!L38,, ", "&amp;CHAR(10))&amp;"Asset", "")
), "N/A"), "")</f>
        <v/>
      </c>
      <c r="C40" s="110" t="str">
        <f>Interfaces!F38</f>
        <v/>
      </c>
      <c r="D40" s="114"/>
      <c r="E40" s="461"/>
      <c r="F40" s="462"/>
      <c r="G40" s="466" t="str">
        <f>IFERROR(IF($A40&lt;&gt;"",
    _xlfn.TEXTJOIN(", "&amp;CHAR(10), TRUE,
      IF(AND(Interfaces!C38="Network",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IF(AND(Interfaces!C38="Network", EInfo_GEC2_7[[#This Row],[E.Info.DT.GEC-3]]&lt;&gt;"", EInfo_GEC2_7[[#This Row],[E.Info.DT.GEC-3]]&lt;&gt;"N/A"), "E.Info.GEC-3.NetworkInterface.Exposure", ""),
      IF(AND(Interfaces!C38="Network",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40" s="45"/>
      <c r="I40" s="472" t="str">
        <f>IF($A40&lt;&gt;"",
      IF(AND(Interfaces!C38="Network", EInfo_GEC2_7[[#This Row],[E.Info.DT.GEC-4]]&lt;&gt;"", EInfo_GEC2_7[[#This Row],[E.Info.DT.GEC-4]]&lt;&gt;"N/A"), "E.Info.GEC-4.UserDoc.NetworkInterface.Exposure", ""),
      "")</f>
        <v/>
      </c>
      <c r="J40" s="45"/>
      <c r="K40" s="466" t="str">
        <f>IF($A40&lt;&gt;"",
      IF(Interfaces!G38&lt;&gt;"", IF(Interfaces!G38="Yes", _xlfn.TEXTJOIN(", "&amp;CHAR(10), TRUE, "E.Info.GEC-5.PhysicalExternalInterface", "E.Info.GEC-5.PhysicalExternalInterface.Purpose", "E.Info.GEC-5.PhysicalExternalInterface.Type", "E.Info.GEC-5.IntFunc"), "N/A"), ""),
"")</f>
        <v/>
      </c>
      <c r="L40" s="150"/>
      <c r="M40" s="120"/>
      <c r="N40" s="389" t="str">
        <f>IF($A40&lt;&gt;"",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40" s="149"/>
      <c r="P40" s="460"/>
      <c r="Q40" s="389" t="str">
        <f>IF($A40&lt;&gt;"",
        IF(EInfo_GEC2_7[[#This Row],[E.Info.DT.GEC-7]]&lt;&gt;"",
         IF(AND(EInfo_GEC2_7[[#This Row],[E.Info.DT.GEC-7]]&lt;&gt;"N/A", Interfaces!H38="Yes"),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40" s="149"/>
    </row>
    <row r="41" spans="1:18" x14ac:dyDescent="0.3">
      <c r="A41" s="125" t="str">
        <f>IF(Interfaces!A39&lt;&gt;"", Interfaces!A39, "")</f>
        <v/>
      </c>
      <c r="B41" s="389" t="str" cm="1">
        <f t="array" ref="B41">IF($A41&lt;&gt;"",
  IF(Interfaces!C39="Network",
    _xlfn.TEXTJOIN(", "&amp;CHAR(10), TRUE,
     IF(AND(Interfaces!L39&lt;&gt;"", EInfo_GEC2_7[[#This Row],[E.Info.DT.GEC-2]]&lt;&gt;"N/A", EInfo_GEC2_7[[#This Row],[E.Info.DT.GEC-2]]&lt;&gt;""), "E.Info.GEC-2." &amp; _xlfn.TEXTSPLIT(Interfaces!L39,, ", "&amp;CHAR(10))&amp;"Asset", ""),
     IF(AND(Interfaces!L39&lt;&gt;"", EInfo_GEC2_7[[#This Row],[E.Info.DT.GEC-3]]&lt;&gt;"N/A", EInfo_GEC2_7[[#This Row],[E.Info.DT.GEC-3]]&lt;&gt;""), "E.Info.GEC-3." &amp; _xlfn.TEXTSPLIT(Interfaces!L39,, ", "&amp;CHAR(10))&amp;"Asset", ""),
     IF(AND(EInfo_GEC2_7[[#This Row],[E.Info.DT.GEC-6]]&lt;&gt;"N/A", EInfo_GEC2_7[[#This Row],[E.Info.DT.GEC-6]]&lt;&gt;""), "E.Info.GEC-6." &amp; _xlfn.TEXTSPLIT(Interfaces!L39,, ", "&amp;CHAR(10))&amp;"Asset", "")
), "N/A"), "")</f>
        <v/>
      </c>
      <c r="C41" s="110" t="str">
        <f>Interfaces!F39</f>
        <v/>
      </c>
      <c r="D41" s="114"/>
      <c r="E41" s="461"/>
      <c r="F41" s="462"/>
      <c r="G41" s="466" t="str">
        <f>IFERROR(IF($A41&lt;&gt;"",
    _xlfn.TEXTJOIN(", "&amp;CHAR(10), TRUE,
      IF(AND(Interfaces!C39="Network",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IF(AND(Interfaces!C39="Network", EInfo_GEC2_7[[#This Row],[E.Info.DT.GEC-3]]&lt;&gt;"", EInfo_GEC2_7[[#This Row],[E.Info.DT.GEC-3]]&lt;&gt;"N/A"), "E.Info.GEC-3.NetworkInterface.Exposure", ""),
      IF(AND(Interfaces!C39="Network",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41" s="45"/>
      <c r="I41" s="472" t="str">
        <f>IF($A41&lt;&gt;"",
      IF(AND(Interfaces!C39="Network", EInfo_GEC2_7[[#This Row],[E.Info.DT.GEC-4]]&lt;&gt;"", EInfo_GEC2_7[[#This Row],[E.Info.DT.GEC-4]]&lt;&gt;"N/A"), "E.Info.GEC-4.UserDoc.NetworkInterface.Exposure", ""),
      "")</f>
        <v/>
      </c>
      <c r="J41" s="45"/>
      <c r="K41" s="466" t="str">
        <f>IF($A41&lt;&gt;"",
      IF(Interfaces!G39&lt;&gt;"", IF(Interfaces!G39="Yes", _xlfn.TEXTJOIN(", "&amp;CHAR(10), TRUE, "E.Info.GEC-5.PhysicalExternalInterface", "E.Info.GEC-5.PhysicalExternalInterface.Purpose", "E.Info.GEC-5.PhysicalExternalInterface.Type", "E.Info.GEC-5.IntFunc"), "N/A"), ""),
"")</f>
        <v/>
      </c>
      <c r="L41" s="150"/>
      <c r="M41" s="120"/>
      <c r="N41" s="389" t="str">
        <f>IF($A41&lt;&gt;"",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41" s="149"/>
      <c r="P41" s="460"/>
      <c r="Q41" s="389" t="str">
        <f>IF($A41&lt;&gt;"",
        IF(EInfo_GEC2_7[[#This Row],[E.Info.DT.GEC-7]]&lt;&gt;"",
         IF(AND(EInfo_GEC2_7[[#This Row],[E.Info.DT.GEC-7]]&lt;&gt;"N/A", Interfaces!H39="Yes"),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41" s="149"/>
    </row>
    <row r="42" spans="1:18" x14ac:dyDescent="0.3">
      <c r="A42" s="125" t="str">
        <f>IF(Interfaces!A40&lt;&gt;"", Interfaces!A40, "")</f>
        <v/>
      </c>
      <c r="B42" s="389" t="str" cm="1">
        <f t="array" ref="B42">IF($A42&lt;&gt;"",
  IF(Interfaces!C40="Network",
    _xlfn.TEXTJOIN(", "&amp;CHAR(10), TRUE,
     IF(AND(Interfaces!L40&lt;&gt;"", EInfo_GEC2_7[[#This Row],[E.Info.DT.GEC-2]]&lt;&gt;"N/A", EInfo_GEC2_7[[#This Row],[E.Info.DT.GEC-2]]&lt;&gt;""), "E.Info.GEC-2." &amp; _xlfn.TEXTSPLIT(Interfaces!L40,, ", "&amp;CHAR(10))&amp;"Asset", ""),
     IF(AND(Interfaces!L40&lt;&gt;"", EInfo_GEC2_7[[#This Row],[E.Info.DT.GEC-3]]&lt;&gt;"N/A", EInfo_GEC2_7[[#This Row],[E.Info.DT.GEC-3]]&lt;&gt;""), "E.Info.GEC-3." &amp; _xlfn.TEXTSPLIT(Interfaces!L40,, ", "&amp;CHAR(10))&amp;"Asset", ""),
     IF(AND(EInfo_GEC2_7[[#This Row],[E.Info.DT.GEC-6]]&lt;&gt;"N/A", EInfo_GEC2_7[[#This Row],[E.Info.DT.GEC-6]]&lt;&gt;""), "E.Info.GEC-6." &amp; _xlfn.TEXTSPLIT(Interfaces!L40,, ", "&amp;CHAR(10))&amp;"Asset", "")
), "N/A"), "")</f>
        <v/>
      </c>
      <c r="C42" s="110" t="str">
        <f>Interfaces!F40</f>
        <v/>
      </c>
      <c r="D42" s="114"/>
      <c r="E42" s="461"/>
      <c r="F42" s="462"/>
      <c r="G42" s="466" t="str">
        <f>IFERROR(IF($A42&lt;&gt;"",
    _xlfn.TEXTJOIN(", "&amp;CHAR(10), TRUE,
      IF(AND(Interfaces!C40="Network",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IF(AND(Interfaces!C40="Network", EInfo_GEC2_7[[#This Row],[E.Info.DT.GEC-3]]&lt;&gt;"", EInfo_GEC2_7[[#This Row],[E.Info.DT.GEC-3]]&lt;&gt;"N/A"), "E.Info.GEC-3.NetworkInterface.Exposure", ""),
      IF(AND(Interfaces!C40="Network",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42" s="45"/>
      <c r="I42" s="472" t="str">
        <f>IF($A42&lt;&gt;"",
      IF(AND(Interfaces!C40="Network", EInfo_GEC2_7[[#This Row],[E.Info.DT.GEC-4]]&lt;&gt;"", EInfo_GEC2_7[[#This Row],[E.Info.DT.GEC-4]]&lt;&gt;"N/A"), "E.Info.GEC-4.UserDoc.NetworkInterface.Exposure", ""),
      "")</f>
        <v/>
      </c>
      <c r="J42" s="45"/>
      <c r="K42" s="466" t="str">
        <f>IF($A42&lt;&gt;"",
      IF(Interfaces!G40&lt;&gt;"", IF(Interfaces!G40="Yes", _xlfn.TEXTJOIN(", "&amp;CHAR(10), TRUE, "E.Info.GEC-5.PhysicalExternalInterface", "E.Info.GEC-5.PhysicalExternalInterface.Purpose", "E.Info.GEC-5.PhysicalExternalInterface.Type", "E.Info.GEC-5.IntFunc"), "N/A"), ""),
"")</f>
        <v/>
      </c>
      <c r="L42" s="150"/>
      <c r="M42" s="120"/>
      <c r="N42" s="389" t="str">
        <f>IF($A42&lt;&gt;"",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42" s="149"/>
      <c r="P42" s="460"/>
      <c r="Q42" s="389" t="str">
        <f>IF($A42&lt;&gt;"",
        IF(EInfo_GEC2_7[[#This Row],[E.Info.DT.GEC-7]]&lt;&gt;"",
         IF(AND(EInfo_GEC2_7[[#This Row],[E.Info.DT.GEC-7]]&lt;&gt;"N/A", Interfaces!H40="Yes"),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42" s="149"/>
    </row>
    <row r="43" spans="1:18" x14ac:dyDescent="0.3">
      <c r="A43" s="125" t="str">
        <f>IF(Interfaces!A41&lt;&gt;"", Interfaces!A41, "")</f>
        <v/>
      </c>
      <c r="B43" s="389" t="str" cm="1">
        <f t="array" ref="B43">IF($A43&lt;&gt;"",
  IF(Interfaces!C41="Network",
    _xlfn.TEXTJOIN(", "&amp;CHAR(10), TRUE,
     IF(AND(Interfaces!L41&lt;&gt;"", EInfo_GEC2_7[[#This Row],[E.Info.DT.GEC-2]]&lt;&gt;"N/A", EInfo_GEC2_7[[#This Row],[E.Info.DT.GEC-2]]&lt;&gt;""), "E.Info.GEC-2." &amp; _xlfn.TEXTSPLIT(Interfaces!L41,, ", "&amp;CHAR(10))&amp;"Asset", ""),
     IF(AND(Interfaces!L41&lt;&gt;"", EInfo_GEC2_7[[#This Row],[E.Info.DT.GEC-3]]&lt;&gt;"N/A", EInfo_GEC2_7[[#This Row],[E.Info.DT.GEC-3]]&lt;&gt;""), "E.Info.GEC-3." &amp; _xlfn.TEXTSPLIT(Interfaces!L41,, ", "&amp;CHAR(10))&amp;"Asset", ""),
     IF(AND(EInfo_GEC2_7[[#This Row],[E.Info.DT.GEC-6]]&lt;&gt;"N/A", EInfo_GEC2_7[[#This Row],[E.Info.DT.GEC-6]]&lt;&gt;""), "E.Info.GEC-6." &amp; _xlfn.TEXTSPLIT(Interfaces!L41,, ", "&amp;CHAR(10))&amp;"Asset", "")
), "N/A"), "")</f>
        <v/>
      </c>
      <c r="C43" s="110" t="str">
        <f>Interfaces!F41</f>
        <v/>
      </c>
      <c r="D43" s="114"/>
      <c r="E43" s="461"/>
      <c r="F43" s="462"/>
      <c r="G43" s="466" t="str">
        <f>IFERROR(IF($A43&lt;&gt;"",
    _xlfn.TEXTJOIN(", "&amp;CHAR(10), TRUE,
      IF(AND(Interfaces!C41="Network",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IF(AND(Interfaces!C41="Network", EInfo_GEC2_7[[#This Row],[E.Info.DT.GEC-3]]&lt;&gt;"", EInfo_GEC2_7[[#This Row],[E.Info.DT.GEC-3]]&lt;&gt;"N/A"), "E.Info.GEC-3.NetworkInterface.Exposure", ""),
      IF(AND(Interfaces!C41="Network",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43" s="45"/>
      <c r="I43" s="472" t="str">
        <f>IF($A43&lt;&gt;"",
      IF(AND(Interfaces!C41="Network", EInfo_GEC2_7[[#This Row],[E.Info.DT.GEC-4]]&lt;&gt;"", EInfo_GEC2_7[[#This Row],[E.Info.DT.GEC-4]]&lt;&gt;"N/A"), "E.Info.GEC-4.UserDoc.NetworkInterface.Exposure", ""),
      "")</f>
        <v/>
      </c>
      <c r="J43" s="45"/>
      <c r="K43" s="466" t="str">
        <f>IF($A43&lt;&gt;"",
      IF(Interfaces!G41&lt;&gt;"", IF(Interfaces!G41="Yes", _xlfn.TEXTJOIN(", "&amp;CHAR(10), TRUE, "E.Info.GEC-5.PhysicalExternalInterface", "E.Info.GEC-5.PhysicalExternalInterface.Purpose", "E.Info.GEC-5.PhysicalExternalInterface.Type", "E.Info.GEC-5.IntFunc"), "N/A"), ""),
"")</f>
        <v/>
      </c>
      <c r="L43" s="150"/>
      <c r="M43" s="120"/>
      <c r="N43" s="389" t="str">
        <f>IF($A43&lt;&gt;"",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43" s="149"/>
      <c r="P43" s="460"/>
      <c r="Q43" s="389" t="str">
        <f>IF($A43&lt;&gt;"",
        IF(EInfo_GEC2_7[[#This Row],[E.Info.DT.GEC-7]]&lt;&gt;"",
         IF(AND(EInfo_GEC2_7[[#This Row],[E.Info.DT.GEC-7]]&lt;&gt;"N/A", Interfaces!H41="Yes"),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43" s="149"/>
    </row>
    <row r="44" spans="1:18" x14ac:dyDescent="0.3">
      <c r="A44" s="125" t="str">
        <f>IF(Interfaces!A42&lt;&gt;"", Interfaces!A42, "")</f>
        <v/>
      </c>
      <c r="B44" s="389" t="str" cm="1">
        <f t="array" ref="B44">IF($A44&lt;&gt;"",
  IF(Interfaces!C42="Network",
    _xlfn.TEXTJOIN(", "&amp;CHAR(10), TRUE,
     IF(AND(Interfaces!L42&lt;&gt;"", EInfo_GEC2_7[[#This Row],[E.Info.DT.GEC-2]]&lt;&gt;"N/A", EInfo_GEC2_7[[#This Row],[E.Info.DT.GEC-2]]&lt;&gt;""), "E.Info.GEC-2." &amp; _xlfn.TEXTSPLIT(Interfaces!L42,, ", "&amp;CHAR(10))&amp;"Asset", ""),
     IF(AND(Interfaces!L42&lt;&gt;"", EInfo_GEC2_7[[#This Row],[E.Info.DT.GEC-3]]&lt;&gt;"N/A", EInfo_GEC2_7[[#This Row],[E.Info.DT.GEC-3]]&lt;&gt;""), "E.Info.GEC-3." &amp; _xlfn.TEXTSPLIT(Interfaces!L42,, ", "&amp;CHAR(10))&amp;"Asset", ""),
     IF(AND(EInfo_GEC2_7[[#This Row],[E.Info.DT.GEC-6]]&lt;&gt;"N/A", EInfo_GEC2_7[[#This Row],[E.Info.DT.GEC-6]]&lt;&gt;""), "E.Info.GEC-6." &amp; _xlfn.TEXTSPLIT(Interfaces!L42,, ", "&amp;CHAR(10))&amp;"Asset", "")
), "N/A"), "")</f>
        <v/>
      </c>
      <c r="C44" s="110" t="str">
        <f>Interfaces!F42</f>
        <v/>
      </c>
      <c r="D44" s="114"/>
      <c r="E44" s="461"/>
      <c r="F44" s="462"/>
      <c r="G44" s="466" t="str">
        <f>IFERROR(IF($A44&lt;&gt;"",
    _xlfn.TEXTJOIN(", "&amp;CHAR(10), TRUE,
      IF(AND(Interfaces!C42="Network",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IF(AND(Interfaces!C42="Network", EInfo_GEC2_7[[#This Row],[E.Info.DT.GEC-3]]&lt;&gt;"", EInfo_GEC2_7[[#This Row],[E.Info.DT.GEC-3]]&lt;&gt;"N/A"), "E.Info.GEC-3.NetworkInterface.Exposure", ""),
      IF(AND(Interfaces!C42="Network",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44" s="45"/>
      <c r="I44" s="472" t="str">
        <f>IF($A44&lt;&gt;"",
      IF(AND(Interfaces!C42="Network", EInfo_GEC2_7[[#This Row],[E.Info.DT.GEC-4]]&lt;&gt;"", EInfo_GEC2_7[[#This Row],[E.Info.DT.GEC-4]]&lt;&gt;"N/A"), "E.Info.GEC-4.UserDoc.NetworkInterface.Exposure", ""),
      "")</f>
        <v/>
      </c>
      <c r="J44" s="45"/>
      <c r="K44" s="466" t="str">
        <f>IF($A44&lt;&gt;"",
      IF(Interfaces!G42&lt;&gt;"", IF(Interfaces!G42="Yes", _xlfn.TEXTJOIN(", "&amp;CHAR(10), TRUE, "E.Info.GEC-5.PhysicalExternalInterface", "E.Info.GEC-5.PhysicalExternalInterface.Purpose", "E.Info.GEC-5.PhysicalExternalInterface.Type", "E.Info.GEC-5.IntFunc"), "N/A"), ""),
"")</f>
        <v/>
      </c>
      <c r="L44" s="150"/>
      <c r="M44" s="120"/>
      <c r="N44" s="389" t="str">
        <f>IF($A44&lt;&gt;"",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44" s="149"/>
      <c r="P44" s="460"/>
      <c r="Q44" s="389" t="str">
        <f>IF($A44&lt;&gt;"",
        IF(EInfo_GEC2_7[[#This Row],[E.Info.DT.GEC-7]]&lt;&gt;"",
         IF(AND(EInfo_GEC2_7[[#This Row],[E.Info.DT.GEC-7]]&lt;&gt;"N/A", Interfaces!H42="Yes"),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44" s="149"/>
    </row>
    <row r="45" spans="1:18" x14ac:dyDescent="0.3">
      <c r="A45" s="125" t="str">
        <f>IF(Interfaces!A43&lt;&gt;"", Interfaces!A43, "")</f>
        <v/>
      </c>
      <c r="B45" s="389" t="str" cm="1">
        <f t="array" ref="B45">IF($A45&lt;&gt;"",
  IF(Interfaces!C43="Network",
    _xlfn.TEXTJOIN(", "&amp;CHAR(10), TRUE,
     IF(AND(Interfaces!L43&lt;&gt;"", EInfo_GEC2_7[[#This Row],[E.Info.DT.GEC-2]]&lt;&gt;"N/A", EInfo_GEC2_7[[#This Row],[E.Info.DT.GEC-2]]&lt;&gt;""), "E.Info.GEC-2." &amp; _xlfn.TEXTSPLIT(Interfaces!L43,, ", "&amp;CHAR(10))&amp;"Asset", ""),
     IF(AND(Interfaces!L43&lt;&gt;"", EInfo_GEC2_7[[#This Row],[E.Info.DT.GEC-3]]&lt;&gt;"N/A", EInfo_GEC2_7[[#This Row],[E.Info.DT.GEC-3]]&lt;&gt;""), "E.Info.GEC-3." &amp; _xlfn.TEXTSPLIT(Interfaces!L43,, ", "&amp;CHAR(10))&amp;"Asset", ""),
     IF(AND(EInfo_GEC2_7[[#This Row],[E.Info.DT.GEC-6]]&lt;&gt;"N/A", EInfo_GEC2_7[[#This Row],[E.Info.DT.GEC-6]]&lt;&gt;""), "E.Info.GEC-6." &amp; _xlfn.TEXTSPLIT(Interfaces!L43,, ", "&amp;CHAR(10))&amp;"Asset", "")
), "N/A"), "")</f>
        <v/>
      </c>
      <c r="C45" s="110" t="str">
        <f>Interfaces!F43</f>
        <v/>
      </c>
      <c r="D45" s="114"/>
      <c r="E45" s="461"/>
      <c r="F45" s="462"/>
      <c r="G45" s="466" t="str">
        <f>IFERROR(IF($A45&lt;&gt;"",
    _xlfn.TEXTJOIN(", "&amp;CHAR(10), TRUE,
      IF(AND(Interfaces!C43="Network",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IF(AND(Interfaces!C43="Network", EInfo_GEC2_7[[#This Row],[E.Info.DT.GEC-3]]&lt;&gt;"", EInfo_GEC2_7[[#This Row],[E.Info.DT.GEC-3]]&lt;&gt;"N/A"), "E.Info.GEC-3.NetworkInterface.Exposure", ""),
      IF(AND(Interfaces!C43="Network",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45" s="45"/>
      <c r="I45" s="472" t="str">
        <f>IF($A45&lt;&gt;"",
      IF(AND(Interfaces!C43="Network", EInfo_GEC2_7[[#This Row],[E.Info.DT.GEC-4]]&lt;&gt;"", EInfo_GEC2_7[[#This Row],[E.Info.DT.GEC-4]]&lt;&gt;"N/A"), "E.Info.GEC-4.UserDoc.NetworkInterface.Exposure", ""),
      "")</f>
        <v/>
      </c>
      <c r="J45" s="45"/>
      <c r="K45" s="466" t="str">
        <f>IF($A45&lt;&gt;"",
      IF(Interfaces!G43&lt;&gt;"", IF(Interfaces!G43="Yes", _xlfn.TEXTJOIN(", "&amp;CHAR(10), TRUE, "E.Info.GEC-5.PhysicalExternalInterface", "E.Info.GEC-5.PhysicalExternalInterface.Purpose", "E.Info.GEC-5.PhysicalExternalInterface.Type", "E.Info.GEC-5.IntFunc"), "N/A"), ""),
"")</f>
        <v/>
      </c>
      <c r="L45" s="150"/>
      <c r="M45" s="120"/>
      <c r="N45" s="389" t="str">
        <f>IF($A45&lt;&gt;"",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45" s="149"/>
      <c r="P45" s="460"/>
      <c r="Q45" s="389" t="str">
        <f>IF($A45&lt;&gt;"",
        IF(EInfo_GEC2_7[[#This Row],[E.Info.DT.GEC-7]]&lt;&gt;"",
         IF(AND(EInfo_GEC2_7[[#This Row],[E.Info.DT.GEC-7]]&lt;&gt;"N/A", Interfaces!H43="Yes"),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45" s="149"/>
    </row>
    <row r="46" spans="1:18" x14ac:dyDescent="0.3">
      <c r="A46" s="125" t="str">
        <f>IF(Interfaces!A44&lt;&gt;"", Interfaces!A44, "")</f>
        <v/>
      </c>
      <c r="B46" s="389" t="str" cm="1">
        <f t="array" ref="B46">IF($A46&lt;&gt;"",
  IF(Interfaces!C44="Network",
    _xlfn.TEXTJOIN(", "&amp;CHAR(10), TRUE,
     IF(AND(Interfaces!L44&lt;&gt;"", EInfo_GEC2_7[[#This Row],[E.Info.DT.GEC-2]]&lt;&gt;"N/A", EInfo_GEC2_7[[#This Row],[E.Info.DT.GEC-2]]&lt;&gt;""), "E.Info.GEC-2." &amp; _xlfn.TEXTSPLIT(Interfaces!L44,, ", "&amp;CHAR(10))&amp;"Asset", ""),
     IF(AND(Interfaces!L44&lt;&gt;"", EInfo_GEC2_7[[#This Row],[E.Info.DT.GEC-3]]&lt;&gt;"N/A", EInfo_GEC2_7[[#This Row],[E.Info.DT.GEC-3]]&lt;&gt;""), "E.Info.GEC-3." &amp; _xlfn.TEXTSPLIT(Interfaces!L44,, ", "&amp;CHAR(10))&amp;"Asset", ""),
     IF(AND(EInfo_GEC2_7[[#This Row],[E.Info.DT.GEC-6]]&lt;&gt;"N/A", EInfo_GEC2_7[[#This Row],[E.Info.DT.GEC-6]]&lt;&gt;""), "E.Info.GEC-6." &amp; _xlfn.TEXTSPLIT(Interfaces!L44,, ", "&amp;CHAR(10))&amp;"Asset", "")
), "N/A"), "")</f>
        <v/>
      </c>
      <c r="C46" s="110" t="str">
        <f>Interfaces!F44</f>
        <v/>
      </c>
      <c r="D46" s="114"/>
      <c r="E46" s="461"/>
      <c r="F46" s="462"/>
      <c r="G46" s="466" t="str">
        <f>IFERROR(IF($A46&lt;&gt;"",
    _xlfn.TEXTJOIN(", "&amp;CHAR(10), TRUE,
      IF(AND(Interfaces!C44="Network",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IF(AND(Interfaces!C44="Network", EInfo_GEC2_7[[#This Row],[E.Info.DT.GEC-3]]&lt;&gt;"", EInfo_GEC2_7[[#This Row],[E.Info.DT.GEC-3]]&lt;&gt;"N/A"), "E.Info.GEC-3.NetworkInterface.Exposure", ""),
      IF(AND(Interfaces!C44="Network",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46" s="45"/>
      <c r="I46" s="472" t="str">
        <f>IF($A46&lt;&gt;"",
      IF(AND(Interfaces!C44="Network", EInfo_GEC2_7[[#This Row],[E.Info.DT.GEC-4]]&lt;&gt;"", EInfo_GEC2_7[[#This Row],[E.Info.DT.GEC-4]]&lt;&gt;"N/A"), "E.Info.GEC-4.UserDoc.NetworkInterface.Exposure", ""),
      "")</f>
        <v/>
      </c>
      <c r="J46" s="45"/>
      <c r="K46" s="466" t="str">
        <f>IF($A46&lt;&gt;"",
      IF(Interfaces!G44&lt;&gt;"", IF(Interfaces!G44="Yes", _xlfn.TEXTJOIN(", "&amp;CHAR(10), TRUE, "E.Info.GEC-5.PhysicalExternalInterface", "E.Info.GEC-5.PhysicalExternalInterface.Purpose", "E.Info.GEC-5.PhysicalExternalInterface.Type", "E.Info.GEC-5.IntFunc"), "N/A"), ""),
"")</f>
        <v/>
      </c>
      <c r="L46" s="150"/>
      <c r="M46" s="120"/>
      <c r="N46" s="389" t="str">
        <f>IF($A46&lt;&gt;"",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46" s="149"/>
      <c r="P46" s="460"/>
      <c r="Q46" s="389" t="str">
        <f>IF($A46&lt;&gt;"",
        IF(EInfo_GEC2_7[[#This Row],[E.Info.DT.GEC-7]]&lt;&gt;"",
         IF(AND(EInfo_GEC2_7[[#This Row],[E.Info.DT.GEC-7]]&lt;&gt;"N/A", Interfaces!H44="Yes"),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46" s="149"/>
    </row>
    <row r="47" spans="1:18" x14ac:dyDescent="0.3">
      <c r="A47" s="125" t="str">
        <f>IF(Interfaces!A45&lt;&gt;"", Interfaces!A45, "")</f>
        <v/>
      </c>
      <c r="B47" s="389" t="str" cm="1">
        <f t="array" ref="B47">IF($A47&lt;&gt;"",
  IF(Interfaces!C45="Network",
    _xlfn.TEXTJOIN(", "&amp;CHAR(10), TRUE,
     IF(AND(Interfaces!L45&lt;&gt;"", EInfo_GEC2_7[[#This Row],[E.Info.DT.GEC-2]]&lt;&gt;"N/A", EInfo_GEC2_7[[#This Row],[E.Info.DT.GEC-2]]&lt;&gt;""), "E.Info.GEC-2." &amp; _xlfn.TEXTSPLIT(Interfaces!L45,, ", "&amp;CHAR(10))&amp;"Asset", ""),
     IF(AND(Interfaces!L45&lt;&gt;"", EInfo_GEC2_7[[#This Row],[E.Info.DT.GEC-3]]&lt;&gt;"N/A", EInfo_GEC2_7[[#This Row],[E.Info.DT.GEC-3]]&lt;&gt;""), "E.Info.GEC-3." &amp; _xlfn.TEXTSPLIT(Interfaces!L45,, ", "&amp;CHAR(10))&amp;"Asset", ""),
     IF(AND(EInfo_GEC2_7[[#This Row],[E.Info.DT.GEC-6]]&lt;&gt;"N/A", EInfo_GEC2_7[[#This Row],[E.Info.DT.GEC-6]]&lt;&gt;""), "E.Info.GEC-6." &amp; _xlfn.TEXTSPLIT(Interfaces!L45,, ", "&amp;CHAR(10))&amp;"Asset", "")
), "N/A"), "")</f>
        <v/>
      </c>
      <c r="C47" s="110" t="str">
        <f>Interfaces!F45</f>
        <v/>
      </c>
      <c r="D47" s="114"/>
      <c r="E47" s="461"/>
      <c r="F47" s="462"/>
      <c r="G47" s="466" t="str">
        <f>IFERROR(IF($A47&lt;&gt;"",
    _xlfn.TEXTJOIN(", "&amp;CHAR(10), TRUE,
      IF(AND(Interfaces!C45="Network",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IF(AND(Interfaces!C45="Network", EInfo_GEC2_7[[#This Row],[E.Info.DT.GEC-3]]&lt;&gt;"", EInfo_GEC2_7[[#This Row],[E.Info.DT.GEC-3]]&lt;&gt;"N/A"), "E.Info.GEC-3.NetworkInterface.Exposure", ""),
      IF(AND(Interfaces!C45="Network",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47" s="45"/>
      <c r="I47" s="472" t="str">
        <f>IF($A47&lt;&gt;"",
      IF(AND(Interfaces!C45="Network", EInfo_GEC2_7[[#This Row],[E.Info.DT.GEC-4]]&lt;&gt;"", EInfo_GEC2_7[[#This Row],[E.Info.DT.GEC-4]]&lt;&gt;"N/A"), "E.Info.GEC-4.UserDoc.NetworkInterface.Exposure", ""),
      "")</f>
        <v/>
      </c>
      <c r="J47" s="45"/>
      <c r="K47" s="466" t="str">
        <f>IF($A47&lt;&gt;"",
      IF(Interfaces!G45&lt;&gt;"", IF(Interfaces!G45="Yes", _xlfn.TEXTJOIN(", "&amp;CHAR(10), TRUE, "E.Info.GEC-5.PhysicalExternalInterface", "E.Info.GEC-5.PhysicalExternalInterface.Purpose", "E.Info.GEC-5.PhysicalExternalInterface.Type", "E.Info.GEC-5.IntFunc"), "N/A"), ""),
"")</f>
        <v/>
      </c>
      <c r="L47" s="150"/>
      <c r="M47" s="120"/>
      <c r="N47" s="389" t="str">
        <f>IF($A47&lt;&gt;"",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47" s="149"/>
      <c r="P47" s="460"/>
      <c r="Q47" s="389" t="str">
        <f>IF($A47&lt;&gt;"",
        IF(EInfo_GEC2_7[[#This Row],[E.Info.DT.GEC-7]]&lt;&gt;"",
         IF(AND(EInfo_GEC2_7[[#This Row],[E.Info.DT.GEC-7]]&lt;&gt;"N/A", Interfaces!H45="Yes"),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47" s="149"/>
    </row>
    <row r="48" spans="1:18" x14ac:dyDescent="0.3">
      <c r="A48" s="125" t="str">
        <f>IF(Interfaces!A46&lt;&gt;"", Interfaces!A46, "")</f>
        <v/>
      </c>
      <c r="B48" s="389" t="str" cm="1">
        <f t="array" ref="B48">IF($A48&lt;&gt;"",
  IF(Interfaces!C46="Network",
    _xlfn.TEXTJOIN(", "&amp;CHAR(10), TRUE,
     IF(AND(Interfaces!L46&lt;&gt;"", EInfo_GEC2_7[[#This Row],[E.Info.DT.GEC-2]]&lt;&gt;"N/A", EInfo_GEC2_7[[#This Row],[E.Info.DT.GEC-2]]&lt;&gt;""), "E.Info.GEC-2." &amp; _xlfn.TEXTSPLIT(Interfaces!L46,, ", "&amp;CHAR(10))&amp;"Asset", ""),
     IF(AND(Interfaces!L46&lt;&gt;"", EInfo_GEC2_7[[#This Row],[E.Info.DT.GEC-3]]&lt;&gt;"N/A", EInfo_GEC2_7[[#This Row],[E.Info.DT.GEC-3]]&lt;&gt;""), "E.Info.GEC-3." &amp; _xlfn.TEXTSPLIT(Interfaces!L46,, ", "&amp;CHAR(10))&amp;"Asset", ""),
     IF(AND(EInfo_GEC2_7[[#This Row],[E.Info.DT.GEC-6]]&lt;&gt;"N/A", EInfo_GEC2_7[[#This Row],[E.Info.DT.GEC-6]]&lt;&gt;""), "E.Info.GEC-6." &amp; _xlfn.TEXTSPLIT(Interfaces!L46,, ", "&amp;CHAR(10))&amp;"Asset", "")
), "N/A"), "")</f>
        <v/>
      </c>
      <c r="C48" s="110" t="str">
        <f>Interfaces!F46</f>
        <v/>
      </c>
      <c r="D48" s="114"/>
      <c r="E48" s="461"/>
      <c r="F48" s="462"/>
      <c r="G48" s="466" t="str">
        <f>IFERROR(IF($A48&lt;&gt;"",
    _xlfn.TEXTJOIN(", "&amp;CHAR(10), TRUE,
      IF(AND(Interfaces!C46="Network",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IF(AND(Interfaces!C46="Network", EInfo_GEC2_7[[#This Row],[E.Info.DT.GEC-3]]&lt;&gt;"", EInfo_GEC2_7[[#This Row],[E.Info.DT.GEC-3]]&lt;&gt;"N/A"), "E.Info.GEC-3.NetworkInterface.Exposure", ""),
      IF(AND(Interfaces!C46="Network",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48" s="45"/>
      <c r="I48" s="472" t="str">
        <f>IF($A48&lt;&gt;"",
      IF(AND(Interfaces!C46="Network", EInfo_GEC2_7[[#This Row],[E.Info.DT.GEC-4]]&lt;&gt;"", EInfo_GEC2_7[[#This Row],[E.Info.DT.GEC-4]]&lt;&gt;"N/A"), "E.Info.GEC-4.UserDoc.NetworkInterface.Exposure", ""),
      "")</f>
        <v/>
      </c>
      <c r="J48" s="45"/>
      <c r="K48" s="466" t="str">
        <f>IF($A48&lt;&gt;"",
      IF(Interfaces!G46&lt;&gt;"", IF(Interfaces!G46="Yes", _xlfn.TEXTJOIN(", "&amp;CHAR(10), TRUE, "E.Info.GEC-5.PhysicalExternalInterface", "E.Info.GEC-5.PhysicalExternalInterface.Purpose", "E.Info.GEC-5.PhysicalExternalInterface.Type", "E.Info.GEC-5.IntFunc"), "N/A"), ""),
"")</f>
        <v/>
      </c>
      <c r="L48" s="150"/>
      <c r="M48" s="120"/>
      <c r="N48" s="389" t="str">
        <f>IF($A48&lt;&gt;"",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48" s="149"/>
      <c r="P48" s="460"/>
      <c r="Q48" s="389" t="str">
        <f>IF($A48&lt;&gt;"",
        IF(EInfo_GEC2_7[[#This Row],[E.Info.DT.GEC-7]]&lt;&gt;"",
         IF(AND(EInfo_GEC2_7[[#This Row],[E.Info.DT.GEC-7]]&lt;&gt;"N/A", Interfaces!H46="Yes"),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48" s="149"/>
    </row>
    <row r="49" spans="1:18" x14ac:dyDescent="0.3">
      <c r="A49" s="125" t="str">
        <f>IF(Interfaces!A47&lt;&gt;"", Interfaces!A47, "")</f>
        <v/>
      </c>
      <c r="B49" s="389" t="str" cm="1">
        <f t="array" ref="B49">IF($A49&lt;&gt;"",
  IF(Interfaces!C47="Network",
    _xlfn.TEXTJOIN(", "&amp;CHAR(10), TRUE,
     IF(AND(Interfaces!L47&lt;&gt;"", EInfo_GEC2_7[[#This Row],[E.Info.DT.GEC-2]]&lt;&gt;"N/A", EInfo_GEC2_7[[#This Row],[E.Info.DT.GEC-2]]&lt;&gt;""), "E.Info.GEC-2." &amp; _xlfn.TEXTSPLIT(Interfaces!L47,, ", "&amp;CHAR(10))&amp;"Asset", ""),
     IF(AND(Interfaces!L47&lt;&gt;"", EInfo_GEC2_7[[#This Row],[E.Info.DT.GEC-3]]&lt;&gt;"N/A", EInfo_GEC2_7[[#This Row],[E.Info.DT.GEC-3]]&lt;&gt;""), "E.Info.GEC-3." &amp; _xlfn.TEXTSPLIT(Interfaces!L47,, ", "&amp;CHAR(10))&amp;"Asset", ""),
     IF(AND(EInfo_GEC2_7[[#This Row],[E.Info.DT.GEC-6]]&lt;&gt;"N/A", EInfo_GEC2_7[[#This Row],[E.Info.DT.GEC-6]]&lt;&gt;""), "E.Info.GEC-6." &amp; _xlfn.TEXTSPLIT(Interfaces!L47,, ", "&amp;CHAR(10))&amp;"Asset", "")
), "N/A"), "")</f>
        <v/>
      </c>
      <c r="C49" s="110" t="str">
        <f>Interfaces!F47</f>
        <v/>
      </c>
      <c r="D49" s="114"/>
      <c r="E49" s="461"/>
      <c r="F49" s="462"/>
      <c r="G49" s="466" t="str">
        <f>IFERROR(IF($A49&lt;&gt;"",
    _xlfn.TEXTJOIN(", "&amp;CHAR(10), TRUE,
      IF(AND(Interfaces!C47="Network",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IF(AND(Interfaces!C47="Network", EInfo_GEC2_7[[#This Row],[E.Info.DT.GEC-3]]&lt;&gt;"", EInfo_GEC2_7[[#This Row],[E.Info.DT.GEC-3]]&lt;&gt;"N/A"), "E.Info.GEC-3.NetworkInterface.Exposure", ""),
      IF(AND(Interfaces!C47="Network",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49" s="45"/>
      <c r="I49" s="472" t="str">
        <f>IF($A49&lt;&gt;"",
      IF(AND(Interfaces!C47="Network", EInfo_GEC2_7[[#This Row],[E.Info.DT.GEC-4]]&lt;&gt;"", EInfo_GEC2_7[[#This Row],[E.Info.DT.GEC-4]]&lt;&gt;"N/A"), "E.Info.GEC-4.UserDoc.NetworkInterface.Exposure", ""),
      "")</f>
        <v/>
      </c>
      <c r="J49" s="45"/>
      <c r="K49" s="466" t="str">
        <f>IF($A49&lt;&gt;"",
      IF(Interfaces!G47&lt;&gt;"", IF(Interfaces!G47="Yes", _xlfn.TEXTJOIN(", "&amp;CHAR(10), TRUE, "E.Info.GEC-5.PhysicalExternalInterface", "E.Info.GEC-5.PhysicalExternalInterface.Purpose", "E.Info.GEC-5.PhysicalExternalInterface.Type", "E.Info.GEC-5.IntFunc"), "N/A"), ""),
"")</f>
        <v/>
      </c>
      <c r="L49" s="150"/>
      <c r="M49" s="120"/>
      <c r="N49" s="389" t="str">
        <f>IF($A49&lt;&gt;"",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O49" s="149"/>
      <c r="P49" s="460"/>
      <c r="Q49" s="389" t="str">
        <f>IF($A49&lt;&gt;"",
        IF(EInfo_GEC2_7[[#This Row],[E.Info.DT.GEC-7]]&lt;&gt;"",
         IF(AND(EInfo_GEC2_7[[#This Row],[E.Info.DT.GEC-7]]&lt;&gt;"N/A", Interfaces!H47="Yes"), _xlfn.TEXTJOIN(", "&amp;CHAR(10), TRUE, "E.Info.GEC-7.NonNetworkInterface",
                IFERROR(IF(VALUE(RIGHT(EInfo_GEC2_7[[#This Row],[E.Info.DT.GEC-7]]))=2, "E.Info.GEC-7.UserDoc.NonNetworkInterface", ""), "")), "N/A"), ""), "")</f>
        <v/>
      </c>
      <c r="R49" s="149"/>
    </row>
    <row r="50" spans="1:18" x14ac:dyDescent="0.3">
      <c r="A50" s="431" t="str">
        <f>IF(Interfaces!A48&lt;&gt;"", Interfaces!A48, "")</f>
        <v/>
      </c>
      <c r="B50" s="390" t="str" cm="1">
        <f t="array" ref="B50">IF($A50&lt;&gt;"",
  IF(Interfaces!C48="Network",
    _xlfn.TEXTJOIN(", "&amp;CHAR(10), TRUE,
     IF(AND(Interfaces!L48&lt;&gt;"", EInfo_GEC2_7[[#This Row],[E.Info.DT.GEC-2]]&lt;&gt;"N/A", EInfo_GEC2_7[[#This Row],[E.Info.DT.GEC-2]]&lt;&gt;""), "E.Info.GEC-2." &amp; _xlfn.TEXTSPLIT(Interfaces!L48,, ", "&amp;CHAR(10))&amp;"Asset", ""),
     IF(AND(Interfaces!L48&lt;&gt;"", EInfo_GEC2_7[[#This Row],[E.Info.DT.GEC-3]]&lt;&gt;"N/A", EInfo_GEC2_7[[#This Row],[E.Info.DT.GEC-3]]&lt;&gt;""), "E.Info.GEC-3." &amp; _xlfn.TEXTSPLIT(Interfaces!L48,, ", "&amp;CHAR(10))&amp;"Asset", ""),
     IF(AND(EInfo_GEC2_7[[#This Row],[E.Info.DT.GEC-6]]&lt;&gt;"N/A", EInfo_GEC2_7[[#This Row],[E.Info.DT.GEC-6]]&lt;&gt;""), "E.Info.GEC-6." &amp; _xlfn.TEXTSPLIT(Interfaces!L48,, ", "&amp;CHAR(10))&amp;"Asset", "")
), "N/A"), "")</f>
        <v/>
      </c>
      <c r="C50" s="193" t="str">
        <f>Interfaces!F48</f>
        <v/>
      </c>
      <c r="D50" s="251"/>
      <c r="E50" s="463"/>
      <c r="F50" s="464"/>
      <c r="G50" s="467" t="str">
        <f>IFERROR(IF($A50&lt;&gt;"",
    _xlfn.TEXTJOIN(", "&amp;CHAR(10), TRUE,
      IF(AND(Interfaces!C48="Network", EInfo_GEC2_7[[#This Row],[E.Info.DT.GEC-2]]&lt;&gt;"", EInfo_GEC2_7[[#This Row],[E.Info.DT.GEC-2]]&lt;&gt;"N/A"), "E.Info.GEC-2.NetworkInterface.Exposure", ""),
      IFERROR(IF(VALUE(RIGHT(EInfo_GEC2_7[[#This Row],[E.Info.DT.GEC-2]]))=3, "E.Info.GEC-2.Setup", ""), ""),
      IF(AND(Interfaces!C48="Network", EInfo_GEC2_7[[#This Row],[E.Info.DT.GEC-3]]&lt;&gt;"", EInfo_GEC2_7[[#This Row],[E.Info.DT.GEC-3]]&lt;&gt;"N/A"), "E.Info.GEC-3.NetworkInterface.Exposure", ""),
      IF(AND(Interfaces!C48="Network", EInfo_GEC2_7[[#This Row],[E.Info.DT.GEC-4]]&lt;&gt;"", EInfo_GEC2_7[[#This Row],[E.Info.DT.GEC-4]]&lt;&gt;"N/A"), "E.Info.GEC-4.NetworkInterface.Exposure", ""),
      IF(AND(EInfo_GEC2_7[[#This Row],[E.Info.DT.GEC-6]]&lt;&gt;"", EInfo_GEC2_7[[#This Row],[E.Info.DT.GEC-6]]&lt;&gt;"N/A"), "E.Info.GEC-6.ExternalInterface", "")
      ), ""), "")</f>
        <v/>
      </c>
      <c r="H50" s="46"/>
      <c r="I50" s="473" t="str">
        <f>IF($A50&lt;&gt;"",
      IF(AND(Interfaces!C48="Network", EInfo_GEC2_7[[#This Row],[E.Info.DT.GEC-4]]&lt;&gt;"", EInfo_GEC2_7[[#This Row],[E.Info.DT.GEC-4]]&lt;&gt;"N/A"), "E.Info.GEC-4.UserDoc.NetworkInterface.Exposure", ""),
      "")</f>
        <v/>
      </c>
      <c r="J50" s="46"/>
      <c r="K50" s="467" t="str">
        <f>IF($A50&lt;&gt;"",
      IF(Interfaces!G48&lt;&gt;"", IF(Interfaces!G48="Yes", _xlfn.TEXTJOIN(", "&amp;CHAR(10), TRUE, "E.Info.GEC-5.PhysicalExternalInterface", "E.Info.GEC-5.PhysicalExternalInterface.Purpose", "E.Info.GEC-5.PhysicalExternalInterface.Type", "E.Info.GEC-5.IntFunc"), "N/A"), ""),
"")</f>
        <v/>
      </c>
      <c r="L50" s="170"/>
      <c r="M50" s="264"/>
      <c r="N50" s="390" t="str">
        <f>IF($A50&lt;&gt;"",
        IF(EInfo_GEC2_7[[#This Row],[E.Info.DT.GEC-6]]&lt;&gt;"",
         IF(EInfo_GEC2_7[[#This Row],[E.Info.DT.GEC-6]]&lt;&gt;"N/A", _xlfn.TEXTJOIN(", "&amp;CHAR(10), TRUE, "E.Info.GEC-6.ExternalInterface.Capabilities", "E.Info.GEC-6.ExternalInterface.Validation"), "N/A"), ""), "")</f>
        <v/>
      </c>
      <c r="P50" s="465"/>
      <c r="Q50" s="390" t="str">
        <f>IF($A50&lt;&gt;"",
        IF(EInfo_GEC2_7[[#This Row],[E.Info.DT.GEC-7]]&lt;&gt;"",
         IF(AND(EInfo_GEC2_7[[#This Row],[E.Info.DT.GEC-7]]&lt;&gt;"N/A", Interfaces!H48="Yes"), _xlfn.TEXTJOIN(", "&amp;CHAR(10), TRUE, "E.Info.GEC-7.NonNetworkInterface",
                IFERROR(IF(VALUE(RIGHT(EInfo_GEC2_7[[#This Row],[E.Info.DT.GEC-7]]))=2, "E.Info.GEC-7.UserDoc.NonNetworkInterface", ""), "")), "N/A"), ""), "")</f>
        <v/>
      </c>
    </row>
  </sheetData>
  <sheetProtection algorithmName="SHA-512" hashValue="OQTnT9litW7jK26Nri++Ktac13MxnK5d1oDEYl5oy9YBrA5XVRuvJPzRceqyqNzmX+UmvwPu8/t4XrbgXzaX+A==" saltValue="dTVKYXjD47wyFq8BMj5Arg==" spinCount="100000" sheet="1" objects="1" scenarios="1" formatCells="0" formatColumns="0" formatRows="0" sort="0"/>
  <protectedRanges>
    <protectedRange sqref="R4:R50" name="GEC_7"/>
    <protectedRange sqref="O4:O50" name="GEC_6"/>
    <protectedRange sqref="L4:L50" name="GEC_5"/>
    <protectedRange sqref="H4:H50" name="GEC_2_3_4"/>
    <protectedRange sqref="D4:F50" name="DT_GEC_2_3_4"/>
    <protectedRange sqref="J4:J50" name="GEC_4"/>
    <protectedRange sqref="M4:M50" name="DT_GEC_6"/>
    <protectedRange sqref="P4:P50" name="DT_GEC_7"/>
  </protectedRanges>
  <phoneticPr fontId="7" type="noConversion"/>
  <dataValidations count="5">
    <dataValidation type="list" allowBlank="1" showInputMessage="1" showErrorMessage="1" sqref="F4:F50" xr:uid="{20546921-84B8-4260-8271-3166B9F5E504}">
      <formula1>"N/A,DT.GEC-4.DN-1,DT.GEC-4.DN-2"</formula1>
    </dataValidation>
    <dataValidation type="list" allowBlank="1" showInputMessage="1" showErrorMessage="1" sqref="M4:M50" xr:uid="{97B92798-E4D6-4E20-BD45-67797B0EC5D3}">
      <formula1>"N/A,DT.GEC-6.DN-1,DT.GEC-6.DN-2"</formula1>
    </dataValidation>
    <dataValidation type="list" allowBlank="1" showInputMessage="1" showErrorMessage="1" sqref="P4:P50" xr:uid="{66DEFB0C-B013-4FA3-B991-28DBEF6026D4}">
      <formula1>"N/A,DT.GEC-7.DN-1,DT.GEC-7.DN-2"</formula1>
    </dataValidation>
    <dataValidation type="list" allowBlank="1" showInputMessage="1" showErrorMessage="1" sqref="D4:D50" xr:uid="{4DCFBDD2-2B1E-44BC-BE37-67014EF8844C}">
      <formula1>"N/A,DT.GEC-2.DN-1,DT.GEC-2.DN-2,DT.GEC-2.DN-3"</formula1>
    </dataValidation>
    <dataValidation type="list" allowBlank="1" showInputMessage="1" showErrorMessage="1" sqref="E4:F50" xr:uid="{8A152234-6578-4502-ACC7-15E9205CB342}">
      <formula1>"N/A,DT.GEC-3.DN-1,DT.GEC-3.DN-2"</formula1>
    </dataValidation>
  </dataValidations>
  <pageMargins left="0.7" right="0.7" top="0.75" bottom="0.75" header="0.3" footer="0.3"/>
  <ignoredErrors>
    <ignoredError sqref="C3" calculatedColumn="1"/>
  </ignoredErrors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AD8F9-2D45-4BB5-89BF-44FA7295A191}">
  <sheetPr>
    <tabColor theme="2"/>
    <pageSetUpPr autoPageBreaks="0"/>
  </sheetPr>
  <dimension ref="A1:F50"/>
  <sheetViews>
    <sheetView zoomScaleNormal="100" workbookViewId="0"/>
  </sheetViews>
  <sheetFormatPr defaultColWidth="16" defaultRowHeight="16.5" x14ac:dyDescent="0.3"/>
  <cols>
    <col min="1" max="1" width="22.5" style="15" bestFit="1" customWidth="1"/>
    <col min="2" max="2" width="22.375" style="14" customWidth="1"/>
    <col min="3" max="3" width="29" style="15" customWidth="1"/>
    <col min="4" max="4" width="42.75" style="15" customWidth="1"/>
    <col min="5" max="5" width="39.875" style="15" customWidth="1"/>
    <col min="6" max="6" width="42.75" style="15" customWidth="1"/>
    <col min="7" max="8" width="20.625" style="14" customWidth="1"/>
    <col min="9" max="9" width="26.625" style="14" customWidth="1"/>
    <col min="10" max="11" width="20.625" style="14" customWidth="1"/>
    <col min="12" max="12" width="26.625" style="14" customWidth="1"/>
    <col min="13" max="16384" width="16" style="14"/>
  </cols>
  <sheetData>
    <row r="1" spans="1:6" s="270" customFormat="1" ht="15" thickBot="1" x14ac:dyDescent="0.3">
      <c r="A1" s="471" t="s">
        <v>420</v>
      </c>
      <c r="C1" s="196" t="s">
        <v>58</v>
      </c>
      <c r="D1" s="196"/>
      <c r="E1" s="196" t="s">
        <v>58</v>
      </c>
      <c r="F1" s="196"/>
    </row>
    <row r="2" spans="1:6" s="13" customFormat="1" ht="17.25" x14ac:dyDescent="0.3">
      <c r="A2" s="135" t="s">
        <v>269</v>
      </c>
      <c r="B2" s="92" t="s">
        <v>57</v>
      </c>
      <c r="C2" s="135" t="s">
        <v>104</v>
      </c>
      <c r="D2" s="136" t="s">
        <v>270</v>
      </c>
      <c r="E2" s="136" t="s">
        <v>271</v>
      </c>
      <c r="F2" s="136" t="s">
        <v>272</v>
      </c>
    </row>
    <row r="3" spans="1:6" s="283" customFormat="1" ht="83.25" thickBot="1" x14ac:dyDescent="0.35">
      <c r="A3" s="289" t="s">
        <v>417</v>
      </c>
      <c r="B3" s="273" t="s">
        <v>284</v>
      </c>
      <c r="C3" s="274" t="s">
        <v>418</v>
      </c>
      <c r="D3" s="289" t="s">
        <v>421</v>
      </c>
      <c r="E3" s="282" t="s">
        <v>419</v>
      </c>
      <c r="F3" s="289" t="s">
        <v>452</v>
      </c>
    </row>
    <row r="4" spans="1:6" ht="102.75" customHeight="1" x14ac:dyDescent="0.3">
      <c r="A4" s="459"/>
      <c r="B4" s="171"/>
      <c r="C4" s="389" t="str">
        <f>IF($A4&lt;&gt;"", "E.Info.GEC-8.PartOfSoftw", "")</f>
        <v/>
      </c>
      <c r="D4" s="86"/>
      <c r="E4" s="391" t="str">
        <f>IF($A4&lt;&gt;"",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4" s="86"/>
    </row>
    <row r="5" spans="1:6" ht="114.75" customHeight="1" x14ac:dyDescent="0.3">
      <c r="A5" s="459"/>
      <c r="B5" s="105"/>
      <c r="C5" s="389" t="str">
        <f t="shared" ref="C5:C50" si="0">IF($A5&lt;&gt;"", "E.Info.GEC-8.PartOfSoftw", "")</f>
        <v/>
      </c>
      <c r="D5" s="86"/>
      <c r="E5" s="391" t="str">
        <f>IF($A5&lt;&gt;"",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5" s="86"/>
    </row>
    <row r="6" spans="1:6" ht="87.75" customHeight="1" x14ac:dyDescent="0.3">
      <c r="A6" s="334"/>
      <c r="B6" s="105"/>
      <c r="C6" s="389" t="str">
        <f t="shared" si="0"/>
        <v/>
      </c>
      <c r="D6" s="86"/>
      <c r="E6" s="391" t="str">
        <f>IF($A6&lt;&gt;"",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6" s="86"/>
    </row>
    <row r="7" spans="1:6" ht="46.5" customHeight="1" x14ac:dyDescent="0.3">
      <c r="A7" s="334"/>
      <c r="B7" s="105"/>
      <c r="C7" s="389" t="str">
        <f t="shared" si="0"/>
        <v/>
      </c>
      <c r="D7" s="86"/>
      <c r="E7" s="391" t="str">
        <f>IF($A7&lt;&gt;"",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7" s="86"/>
    </row>
    <row r="8" spans="1:6" x14ac:dyDescent="0.3">
      <c r="A8" s="334"/>
      <c r="B8" s="105"/>
      <c r="C8" s="389" t="str">
        <f t="shared" si="0"/>
        <v/>
      </c>
      <c r="D8" s="86"/>
      <c r="E8" s="391" t="str">
        <f>IF($A8&lt;&gt;"",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8" s="86"/>
    </row>
    <row r="9" spans="1:6" x14ac:dyDescent="0.3">
      <c r="A9" s="334"/>
      <c r="B9" s="105"/>
      <c r="C9" s="389" t="str">
        <f t="shared" si="0"/>
        <v/>
      </c>
      <c r="D9" s="86"/>
      <c r="E9" s="391" t="str">
        <f>IF($A9&lt;&gt;"",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9" s="86"/>
    </row>
    <row r="10" spans="1:6" x14ac:dyDescent="0.3">
      <c r="A10" s="334"/>
      <c r="B10" s="105"/>
      <c r="C10" s="389" t="str">
        <f t="shared" si="0"/>
        <v/>
      </c>
      <c r="D10" s="86"/>
      <c r="E10" s="391" t="str">
        <f>IF($A10&lt;&gt;"",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10" s="86"/>
    </row>
    <row r="11" spans="1:6" x14ac:dyDescent="0.3">
      <c r="A11" s="334"/>
      <c r="B11" s="105"/>
      <c r="C11" s="389" t="str">
        <f t="shared" si="0"/>
        <v/>
      </c>
      <c r="D11" s="86"/>
      <c r="E11" s="391" t="str">
        <f>IF($A11&lt;&gt;"",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11" s="86"/>
    </row>
    <row r="12" spans="1:6" x14ac:dyDescent="0.3">
      <c r="A12" s="334"/>
      <c r="B12" s="105"/>
      <c r="C12" s="389" t="str">
        <f t="shared" si="0"/>
        <v/>
      </c>
      <c r="D12" s="86"/>
      <c r="E12" s="391" t="str">
        <f>IF($A12&lt;&gt;"",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12" s="86"/>
    </row>
    <row r="13" spans="1:6" x14ac:dyDescent="0.3">
      <c r="A13" s="334"/>
      <c r="B13" s="105"/>
      <c r="C13" s="389" t="str">
        <f t="shared" si="0"/>
        <v/>
      </c>
      <c r="D13" s="86"/>
      <c r="E13" s="391" t="str">
        <f>IF($A13&lt;&gt;"",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13" s="86"/>
    </row>
    <row r="14" spans="1:6" x14ac:dyDescent="0.3">
      <c r="A14" s="334"/>
      <c r="B14" s="105"/>
      <c r="C14" s="389" t="str">
        <f t="shared" si="0"/>
        <v/>
      </c>
      <c r="D14" s="86"/>
      <c r="E14" s="391" t="str">
        <f>IF($A14&lt;&gt;"",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14" s="86"/>
    </row>
    <row r="15" spans="1:6" x14ac:dyDescent="0.3">
      <c r="A15" s="334"/>
      <c r="B15" s="105"/>
      <c r="C15" s="389" t="str">
        <f t="shared" si="0"/>
        <v/>
      </c>
      <c r="D15" s="86"/>
      <c r="E15" s="391" t="str">
        <f>IF($A15&lt;&gt;"",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15" s="86"/>
    </row>
    <row r="16" spans="1:6" x14ac:dyDescent="0.3">
      <c r="A16" s="334"/>
      <c r="B16" s="105"/>
      <c r="C16" s="389" t="str">
        <f t="shared" si="0"/>
        <v/>
      </c>
      <c r="D16" s="86"/>
      <c r="E16" s="391" t="str">
        <f>IF($A16&lt;&gt;"",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16" s="86"/>
    </row>
    <row r="17" spans="1:6" x14ac:dyDescent="0.3">
      <c r="A17" s="334"/>
      <c r="B17" s="105"/>
      <c r="C17" s="389" t="str">
        <f t="shared" si="0"/>
        <v/>
      </c>
      <c r="D17" s="86"/>
      <c r="E17" s="391" t="str">
        <f>IF($A17&lt;&gt;"",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17" s="86"/>
    </row>
    <row r="18" spans="1:6" x14ac:dyDescent="0.3">
      <c r="A18" s="334"/>
      <c r="B18" s="105"/>
      <c r="C18" s="389" t="str">
        <f t="shared" si="0"/>
        <v/>
      </c>
      <c r="D18" s="86"/>
      <c r="E18" s="391" t="str">
        <f>IF($A18&lt;&gt;"",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18" s="86"/>
    </row>
    <row r="19" spans="1:6" x14ac:dyDescent="0.3">
      <c r="A19" s="334"/>
      <c r="B19" s="105"/>
      <c r="C19" s="389" t="str">
        <f t="shared" si="0"/>
        <v/>
      </c>
      <c r="D19" s="86"/>
      <c r="E19" s="391" t="str">
        <f>IF($A19&lt;&gt;"",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19" s="86"/>
    </row>
    <row r="20" spans="1:6" x14ac:dyDescent="0.3">
      <c r="A20" s="334"/>
      <c r="B20" s="105"/>
      <c r="C20" s="389" t="str">
        <f t="shared" si="0"/>
        <v/>
      </c>
      <c r="D20" s="86"/>
      <c r="E20" s="391" t="str">
        <f>IF($A20&lt;&gt;"",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20" s="86"/>
    </row>
    <row r="21" spans="1:6" x14ac:dyDescent="0.3">
      <c r="A21" s="334"/>
      <c r="B21" s="105"/>
      <c r="C21" s="389" t="str">
        <f t="shared" si="0"/>
        <v/>
      </c>
      <c r="D21" s="86"/>
      <c r="E21" s="391" t="str">
        <f>IF($A21&lt;&gt;"",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21" s="86"/>
    </row>
    <row r="22" spans="1:6" x14ac:dyDescent="0.3">
      <c r="A22" s="334"/>
      <c r="B22" s="105"/>
      <c r="C22" s="389" t="str">
        <f t="shared" si="0"/>
        <v/>
      </c>
      <c r="D22" s="86"/>
      <c r="E22" s="391" t="str">
        <f>IF($A22&lt;&gt;"",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22" s="86"/>
    </row>
    <row r="23" spans="1:6" x14ac:dyDescent="0.3">
      <c r="A23" s="334"/>
      <c r="B23" s="105"/>
      <c r="C23" s="389" t="str">
        <f t="shared" si="0"/>
        <v/>
      </c>
      <c r="D23" s="86"/>
      <c r="E23" s="391" t="str">
        <f>IF($A23&lt;&gt;"",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23" s="86"/>
    </row>
    <row r="24" spans="1:6" x14ac:dyDescent="0.3">
      <c r="A24" s="334"/>
      <c r="B24" s="105"/>
      <c r="C24" s="389" t="str">
        <f t="shared" si="0"/>
        <v/>
      </c>
      <c r="D24" s="86"/>
      <c r="E24" s="391" t="str">
        <f>IF($A24&lt;&gt;"",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24" s="86"/>
    </row>
    <row r="25" spans="1:6" x14ac:dyDescent="0.3">
      <c r="A25" s="334"/>
      <c r="B25" s="105"/>
      <c r="C25" s="389" t="str">
        <f t="shared" si="0"/>
        <v/>
      </c>
      <c r="D25" s="86"/>
      <c r="E25" s="391" t="str">
        <f>IF($A25&lt;&gt;"",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25" s="86"/>
    </row>
    <row r="26" spans="1:6" x14ac:dyDescent="0.3">
      <c r="A26" s="334"/>
      <c r="B26" s="105"/>
      <c r="C26" s="389" t="str">
        <f t="shared" si="0"/>
        <v/>
      </c>
      <c r="D26" s="86"/>
      <c r="E26" s="391" t="str">
        <f>IF($A26&lt;&gt;"",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26" s="86"/>
    </row>
    <row r="27" spans="1:6" x14ac:dyDescent="0.3">
      <c r="A27" s="334"/>
      <c r="B27" s="105"/>
      <c r="C27" s="389" t="str">
        <f t="shared" si="0"/>
        <v/>
      </c>
      <c r="D27" s="86"/>
      <c r="E27" s="391" t="str">
        <f>IF($A27&lt;&gt;"",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27" s="86"/>
    </row>
    <row r="28" spans="1:6" x14ac:dyDescent="0.3">
      <c r="A28" s="334"/>
      <c r="B28" s="105"/>
      <c r="C28" s="389" t="str">
        <f t="shared" si="0"/>
        <v/>
      </c>
      <c r="D28" s="86"/>
      <c r="E28" s="391" t="str">
        <f>IF($A28&lt;&gt;"",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28" s="86"/>
    </row>
    <row r="29" spans="1:6" x14ac:dyDescent="0.3">
      <c r="A29" s="334"/>
      <c r="B29" s="105"/>
      <c r="C29" s="389" t="str">
        <f t="shared" si="0"/>
        <v/>
      </c>
      <c r="D29" s="86"/>
      <c r="E29" s="391" t="str">
        <f>IF($A29&lt;&gt;"",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29" s="86"/>
    </row>
    <row r="30" spans="1:6" x14ac:dyDescent="0.3">
      <c r="A30" s="334"/>
      <c r="B30" s="105"/>
      <c r="C30" s="389" t="str">
        <f t="shared" si="0"/>
        <v/>
      </c>
      <c r="D30" s="86"/>
      <c r="E30" s="391" t="str">
        <f>IF($A30&lt;&gt;"",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30" s="86"/>
    </row>
    <row r="31" spans="1:6" x14ac:dyDescent="0.3">
      <c r="A31" s="334"/>
      <c r="B31" s="105"/>
      <c r="C31" s="389" t="str">
        <f t="shared" si="0"/>
        <v/>
      </c>
      <c r="D31" s="86"/>
      <c r="E31" s="391" t="str">
        <f>IF($A31&lt;&gt;"",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31" s="86"/>
    </row>
    <row r="32" spans="1:6" x14ac:dyDescent="0.3">
      <c r="A32" s="334"/>
      <c r="B32" s="105"/>
      <c r="C32" s="389" t="str">
        <f t="shared" si="0"/>
        <v/>
      </c>
      <c r="D32" s="86"/>
      <c r="E32" s="391" t="str">
        <f>IF($A32&lt;&gt;"",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32" s="86"/>
    </row>
    <row r="33" spans="1:6" x14ac:dyDescent="0.3">
      <c r="A33" s="334"/>
      <c r="B33" s="105"/>
      <c r="C33" s="389" t="str">
        <f t="shared" si="0"/>
        <v/>
      </c>
      <c r="D33" s="86"/>
      <c r="E33" s="391" t="str">
        <f>IF($A33&lt;&gt;"",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33" s="86"/>
    </row>
    <row r="34" spans="1:6" x14ac:dyDescent="0.3">
      <c r="A34" s="334"/>
      <c r="B34" s="105"/>
      <c r="C34" s="389" t="str">
        <f t="shared" si="0"/>
        <v/>
      </c>
      <c r="D34" s="86"/>
      <c r="E34" s="391" t="str">
        <f>IF($A34&lt;&gt;"",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34" s="86"/>
    </row>
    <row r="35" spans="1:6" x14ac:dyDescent="0.3">
      <c r="A35" s="334"/>
      <c r="B35" s="105"/>
      <c r="C35" s="389" t="str">
        <f t="shared" si="0"/>
        <v/>
      </c>
      <c r="D35" s="86"/>
      <c r="E35" s="391" t="str">
        <f>IF($A35&lt;&gt;"",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35" s="86"/>
    </row>
    <row r="36" spans="1:6" x14ac:dyDescent="0.3">
      <c r="A36" s="334"/>
      <c r="B36" s="105"/>
      <c r="C36" s="389" t="str">
        <f t="shared" si="0"/>
        <v/>
      </c>
      <c r="D36" s="86"/>
      <c r="E36" s="391" t="str">
        <f>IF($A36&lt;&gt;"",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36" s="86"/>
    </row>
    <row r="37" spans="1:6" x14ac:dyDescent="0.3">
      <c r="A37" s="334"/>
      <c r="B37" s="105"/>
      <c r="C37" s="389" t="str">
        <f t="shared" si="0"/>
        <v/>
      </c>
      <c r="D37" s="86"/>
      <c r="E37" s="391" t="str">
        <f>IF($A37&lt;&gt;"",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37" s="86"/>
    </row>
    <row r="38" spans="1:6" x14ac:dyDescent="0.3">
      <c r="A38" s="334"/>
      <c r="B38" s="105"/>
      <c r="C38" s="389" t="str">
        <f t="shared" si="0"/>
        <v/>
      </c>
      <c r="D38" s="86"/>
      <c r="E38" s="391" t="str">
        <f>IF($A38&lt;&gt;"",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38" s="86"/>
    </row>
    <row r="39" spans="1:6" x14ac:dyDescent="0.3">
      <c r="A39" s="334"/>
      <c r="B39" s="105"/>
      <c r="C39" s="389" t="str">
        <f t="shared" si="0"/>
        <v/>
      </c>
      <c r="D39" s="86"/>
      <c r="E39" s="391" t="str">
        <f>IF($A39&lt;&gt;"",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39" s="86"/>
    </row>
    <row r="40" spans="1:6" x14ac:dyDescent="0.3">
      <c r="A40" s="334"/>
      <c r="B40" s="105"/>
      <c r="C40" s="389" t="str">
        <f t="shared" si="0"/>
        <v/>
      </c>
      <c r="D40" s="86"/>
      <c r="E40" s="391" t="str">
        <f>IF($A40&lt;&gt;"",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40" s="86"/>
    </row>
    <row r="41" spans="1:6" x14ac:dyDescent="0.3">
      <c r="A41" s="334"/>
      <c r="B41" s="105"/>
      <c r="C41" s="389" t="str">
        <f t="shared" si="0"/>
        <v/>
      </c>
      <c r="D41" s="86"/>
      <c r="E41" s="391" t="str">
        <f>IF($A41&lt;&gt;"",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41" s="86"/>
    </row>
    <row r="42" spans="1:6" x14ac:dyDescent="0.3">
      <c r="A42" s="334"/>
      <c r="B42" s="105"/>
      <c r="C42" s="389" t="str">
        <f t="shared" si="0"/>
        <v/>
      </c>
      <c r="D42" s="86"/>
      <c r="E42" s="391" t="str">
        <f>IF($A42&lt;&gt;"",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42" s="86"/>
    </row>
    <row r="43" spans="1:6" x14ac:dyDescent="0.3">
      <c r="A43" s="334"/>
      <c r="B43" s="105"/>
      <c r="C43" s="389" t="str">
        <f t="shared" si="0"/>
        <v/>
      </c>
      <c r="D43" s="86"/>
      <c r="E43" s="391" t="str">
        <f>IF($A43&lt;&gt;"",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43" s="86"/>
    </row>
    <row r="44" spans="1:6" x14ac:dyDescent="0.3">
      <c r="A44" s="334"/>
      <c r="B44" s="105"/>
      <c r="C44" s="389" t="str">
        <f t="shared" si="0"/>
        <v/>
      </c>
      <c r="D44" s="86"/>
      <c r="E44" s="391" t="str">
        <f>IF($A44&lt;&gt;"",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44" s="86"/>
    </row>
    <row r="45" spans="1:6" x14ac:dyDescent="0.3">
      <c r="A45" s="334"/>
      <c r="B45" s="105"/>
      <c r="C45" s="389" t="str">
        <f t="shared" si="0"/>
        <v/>
      </c>
      <c r="D45" s="86"/>
      <c r="E45" s="391" t="str">
        <f>IF($A45&lt;&gt;"",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45" s="86"/>
    </row>
    <row r="46" spans="1:6" x14ac:dyDescent="0.3">
      <c r="A46" s="334"/>
      <c r="B46" s="105"/>
      <c r="C46" s="389" t="str">
        <f t="shared" si="0"/>
        <v/>
      </c>
      <c r="D46" s="86"/>
      <c r="E46" s="391" t="str">
        <f>IF($A46&lt;&gt;"",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46" s="86"/>
    </row>
    <row r="47" spans="1:6" x14ac:dyDescent="0.3">
      <c r="A47" s="334"/>
      <c r="B47" s="105"/>
      <c r="C47" s="389" t="str">
        <f t="shared" si="0"/>
        <v/>
      </c>
      <c r="D47" s="86"/>
      <c r="E47" s="391" t="str">
        <f>IF($A47&lt;&gt;"",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47" s="86"/>
    </row>
    <row r="48" spans="1:6" x14ac:dyDescent="0.3">
      <c r="A48" s="334"/>
      <c r="B48" s="105"/>
      <c r="C48" s="389" t="str">
        <f t="shared" si="0"/>
        <v/>
      </c>
      <c r="D48" s="86"/>
      <c r="E48" s="391" t="str">
        <f>IF($A48&lt;&gt;"",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48" s="86"/>
    </row>
    <row r="49" spans="1:6" x14ac:dyDescent="0.3">
      <c r="A49" s="334"/>
      <c r="B49" s="105"/>
      <c r="C49" s="389" t="str">
        <f t="shared" si="0"/>
        <v/>
      </c>
      <c r="D49" s="86"/>
      <c r="E49" s="391" t="str">
        <f>IF($A49&lt;&gt;"",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49" s="86"/>
    </row>
    <row r="50" spans="1:6" ht="17.25" thickBot="1" x14ac:dyDescent="0.35">
      <c r="A50" s="336"/>
      <c r="B50" s="449"/>
      <c r="C50" s="390" t="str">
        <f t="shared" si="0"/>
        <v/>
      </c>
      <c r="D50" s="14"/>
      <c r="E50" s="392" t="str">
        <f>IF($A50&lt;&gt;"",
  IF(EInfo_GEC8[[#This Row],[E.Info.DT.GEC-8]]="N/A", "N/A",
     IFERROR(IF(VALUE(RIGHT(EInfo_GEC8[[#This Row],[E.Info.DT.GEC-8]]))=2, _xlfn.TEXTJOIN(", "&amp;CHAR(10), TRUE, "E.Info.GEC-8.BootProcess", "E.Info.GEC-8.BootProcess.TrustAnchor", "E.Info.GEC-8.BootProcess.SecMech", "E.Info.GEC-8.BootProcess.Modes"), "N/A"), "")), "")</f>
        <v/>
      </c>
      <c r="F50" s="14"/>
    </row>
  </sheetData>
  <sheetProtection algorithmName="SHA-512" hashValue="aq10S/gcoigsjNizkZXn+zo86MLZQVq/GOe3uyMsbCE1qvxE6ZDpe/KlyMYBe0nfLzuNfDlqmjyHYnSYej7V9w==" saltValue="YwTcmMbAaZvof2AuFs0U0Q==" spinCount="100000" sheet="1" objects="1" scenarios="1" formatCells="0" formatColumns="0" formatRows="0" sort="0"/>
  <protectedRanges>
    <protectedRange sqref="D4:D50" name="GEC_8_2"/>
    <protectedRange sqref="A4:A50" name="GEC_8_1"/>
    <protectedRange sqref="B4:B50" name="DT_GEC_8"/>
    <protectedRange sqref="F4:F50" name="GEC_8_3"/>
  </protectedRanges>
  <dataValidations count="1">
    <dataValidation type="list" allowBlank="1" showInputMessage="1" showErrorMessage="1" sqref="B4:B50" xr:uid="{9EA0DB51-9304-4A16-876A-5CCA5BC56CCE}">
      <formula1>"N/A,DT.GEC-8.DN-1,DT.GEC-8.DN-2"</formula1>
    </dataValidation>
  </dataValidations>
  <pageMargins left="0.7" right="0.7" top="0.75" bottom="0.75" header="0.3" footer="0.3"/>
  <ignoredErrors>
    <ignoredError sqref="D3" calculatedColumn="1"/>
  </ignoredErrors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B3152-DAB4-4D54-8F60-08068DE83C32}">
  <sheetPr>
    <tabColor theme="2"/>
    <pageSetUpPr autoPageBreaks="0"/>
  </sheetPr>
  <dimension ref="A1:H51"/>
  <sheetViews>
    <sheetView zoomScaleNormal="100" workbookViewId="0"/>
  </sheetViews>
  <sheetFormatPr defaultColWidth="16" defaultRowHeight="16.5" x14ac:dyDescent="0.3"/>
  <cols>
    <col min="1" max="2" width="20.625" style="15" customWidth="1"/>
    <col min="3" max="3" width="50" customWidth="1"/>
    <col min="4" max="4" width="18.375" customWidth="1"/>
    <col min="5" max="5" width="30.5" style="15" customWidth="1"/>
    <col min="6" max="6" width="46.875" style="15" customWidth="1"/>
    <col min="7" max="7" width="42.375" style="15" customWidth="1"/>
    <col min="8" max="8" width="39.375" style="15" bestFit="1" customWidth="1"/>
    <col min="9" max="16384" width="16" style="14"/>
  </cols>
  <sheetData>
    <row r="1" spans="1:8" s="270" customFormat="1" ht="14.25" x14ac:dyDescent="0.25">
      <c r="A1" s="194" t="s">
        <v>422</v>
      </c>
      <c r="B1" s="196" t="s">
        <v>25</v>
      </c>
      <c r="C1" s="196"/>
      <c r="D1" s="327"/>
      <c r="E1" s="196" t="s">
        <v>25</v>
      </c>
    </row>
    <row r="2" spans="1:8" s="13" customFormat="1" ht="30" x14ac:dyDescent="0.3">
      <c r="A2" s="147" t="s">
        <v>44</v>
      </c>
      <c r="B2" s="148" t="s">
        <v>1</v>
      </c>
      <c r="C2" s="147" t="s">
        <v>216</v>
      </c>
      <c r="D2" s="172" t="s">
        <v>217</v>
      </c>
      <c r="E2" s="474" t="s">
        <v>218</v>
      </c>
      <c r="F2" s="135" t="s">
        <v>215</v>
      </c>
    </row>
    <row r="3" spans="1:8" s="283" customFormat="1" ht="66" x14ac:dyDescent="0.3">
      <c r="A3" s="476" t="s">
        <v>423</v>
      </c>
      <c r="B3" s="475" t="s">
        <v>424</v>
      </c>
      <c r="C3" s="476" t="s">
        <v>425</v>
      </c>
      <c r="D3" s="477" t="s">
        <v>284</v>
      </c>
      <c r="E3" s="272" t="s">
        <v>426</v>
      </c>
      <c r="F3" s="478" t="s">
        <v>427</v>
      </c>
    </row>
    <row r="4" spans="1:8" ht="33.75" customHeight="1" x14ac:dyDescent="0.3">
      <c r="A4" s="334"/>
      <c r="B4" s="479" t="str">
        <f>IF(EInfo_CRY[[#This Row],[Cryptopraphy]]&lt;&gt;"", "E.Info.CRY-1.Assets", "")</f>
        <v/>
      </c>
      <c r="C4" s="595"/>
      <c r="D4" s="171"/>
      <c r="E4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4" s="595"/>
      <c r="G4" s="14"/>
      <c r="H4" s="14"/>
    </row>
    <row r="5" spans="1:8" x14ac:dyDescent="0.3">
      <c r="A5" s="334"/>
      <c r="B5" s="479" t="str">
        <f>IF(EInfo_CRY[[#This Row],[Cryptopraphy]]&lt;&gt;"", "E.Info.CRY-1.Assets", "")</f>
        <v/>
      </c>
      <c r="C5" s="595"/>
      <c r="D5" s="105"/>
      <c r="E5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5" s="595"/>
      <c r="G5" s="14"/>
      <c r="H5" s="14"/>
    </row>
    <row r="6" spans="1:8" x14ac:dyDescent="0.3">
      <c r="A6" s="334"/>
      <c r="B6" s="479" t="str">
        <f>IF(EInfo_CRY[[#This Row],[Cryptopraphy]]&lt;&gt;"", "E.Info.CRY-1.Assets", "")</f>
        <v/>
      </c>
      <c r="C6" s="595"/>
      <c r="D6" s="105"/>
      <c r="E6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6" s="595"/>
      <c r="G6" s="14"/>
      <c r="H6" s="14"/>
    </row>
    <row r="7" spans="1:8" x14ac:dyDescent="0.3">
      <c r="A7" s="334"/>
      <c r="B7" s="479" t="str">
        <f>IF(EInfo_CRY[[#This Row],[Cryptopraphy]]&lt;&gt;"", "E.Info.CRY-1.Assets", "")</f>
        <v/>
      </c>
      <c r="C7" s="595"/>
      <c r="D7" s="105"/>
      <c r="E7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7" s="595"/>
      <c r="G7" s="14"/>
      <c r="H7" s="14"/>
    </row>
    <row r="8" spans="1:8" x14ac:dyDescent="0.3">
      <c r="A8" s="334"/>
      <c r="B8" s="479" t="str">
        <f>IF(EInfo_CRY[[#This Row],[Cryptopraphy]]&lt;&gt;"", "E.Info.CRY-1.Assets", "")</f>
        <v/>
      </c>
      <c r="C8" s="595"/>
      <c r="D8" s="105"/>
      <c r="E8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8" s="595"/>
      <c r="G8" s="14"/>
      <c r="H8" s="14"/>
    </row>
    <row r="9" spans="1:8" x14ac:dyDescent="0.3">
      <c r="A9" s="334"/>
      <c r="B9" s="479" t="str">
        <f>IF(EInfo_CRY[[#This Row],[Cryptopraphy]]&lt;&gt;"", "E.Info.CRY-1.Assets", "")</f>
        <v/>
      </c>
      <c r="C9" s="595"/>
      <c r="D9" s="105"/>
      <c r="E9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9" s="595"/>
      <c r="G9" s="14"/>
      <c r="H9" s="14"/>
    </row>
    <row r="10" spans="1:8" x14ac:dyDescent="0.3">
      <c r="A10" s="334"/>
      <c r="B10" s="479" t="str">
        <f>IF(EInfo_CRY[[#This Row],[Cryptopraphy]]&lt;&gt;"", "E.Info.CRY-1.Assets", "")</f>
        <v/>
      </c>
      <c r="C10" s="595"/>
      <c r="D10" s="105"/>
      <c r="E10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10" s="595"/>
      <c r="G10" s="14"/>
      <c r="H10" s="14"/>
    </row>
    <row r="11" spans="1:8" x14ac:dyDescent="0.3">
      <c r="A11" s="334"/>
      <c r="B11" s="479" t="str">
        <f>IF(EInfo_CRY[[#This Row],[Cryptopraphy]]&lt;&gt;"", "E.Info.CRY-1.Assets", "")</f>
        <v/>
      </c>
      <c r="C11" s="595"/>
      <c r="D11" s="105"/>
      <c r="E11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11" s="595"/>
      <c r="G11" s="14"/>
      <c r="H11" s="14"/>
    </row>
    <row r="12" spans="1:8" x14ac:dyDescent="0.3">
      <c r="A12" s="334"/>
      <c r="B12" s="479" t="str">
        <f>IF(EInfo_CRY[[#This Row],[Cryptopraphy]]&lt;&gt;"", "E.Info.CRY-1.Assets", "")</f>
        <v/>
      </c>
      <c r="C12" s="595"/>
      <c r="D12" s="105"/>
      <c r="E12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12" s="595"/>
      <c r="G12" s="14"/>
      <c r="H12" s="14"/>
    </row>
    <row r="13" spans="1:8" x14ac:dyDescent="0.3">
      <c r="A13" s="334"/>
      <c r="B13" s="479" t="str">
        <f>IF(EInfo_CRY[[#This Row],[Cryptopraphy]]&lt;&gt;"", "E.Info.CRY-1.Assets", "")</f>
        <v/>
      </c>
      <c r="C13" s="595"/>
      <c r="D13" s="105"/>
      <c r="E13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13" s="595"/>
      <c r="G13" s="14"/>
      <c r="H13" s="14"/>
    </row>
    <row r="14" spans="1:8" x14ac:dyDescent="0.3">
      <c r="A14" s="334"/>
      <c r="B14" s="479" t="str">
        <f>IF(EInfo_CRY[[#This Row],[Cryptopraphy]]&lt;&gt;"", "E.Info.CRY-1.Assets", "")</f>
        <v/>
      </c>
      <c r="C14" s="595"/>
      <c r="D14" s="105"/>
      <c r="E14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14" s="595"/>
      <c r="G14" s="14"/>
      <c r="H14" s="14"/>
    </row>
    <row r="15" spans="1:8" x14ac:dyDescent="0.3">
      <c r="A15" s="334"/>
      <c r="B15" s="479" t="str">
        <f>IF(EInfo_CRY[[#This Row],[Cryptopraphy]]&lt;&gt;"", "E.Info.CRY-1.Assets", "")</f>
        <v/>
      </c>
      <c r="C15" s="595"/>
      <c r="D15" s="105"/>
      <c r="E15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15" s="595"/>
      <c r="G15" s="14"/>
      <c r="H15" s="14"/>
    </row>
    <row r="16" spans="1:8" x14ac:dyDescent="0.3">
      <c r="A16" s="334"/>
      <c r="B16" s="479" t="str">
        <f>IF(EInfo_CRY[[#This Row],[Cryptopraphy]]&lt;&gt;"", "E.Info.CRY-1.Assets", "")</f>
        <v/>
      </c>
      <c r="C16" s="595"/>
      <c r="D16" s="105"/>
      <c r="E16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16" s="595"/>
      <c r="G16" s="14"/>
      <c r="H16" s="14"/>
    </row>
    <row r="17" spans="1:8" x14ac:dyDescent="0.3">
      <c r="A17" s="334"/>
      <c r="B17" s="479" t="str">
        <f>IF(EInfo_CRY[[#This Row],[Cryptopraphy]]&lt;&gt;"", "E.Info.CRY-1.Assets", "")</f>
        <v/>
      </c>
      <c r="C17" s="595"/>
      <c r="D17" s="105"/>
      <c r="E17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17" s="595"/>
      <c r="G17" s="14"/>
      <c r="H17" s="14"/>
    </row>
    <row r="18" spans="1:8" x14ac:dyDescent="0.3">
      <c r="A18" s="334"/>
      <c r="B18" s="479" t="str">
        <f>IF(EInfo_CRY[[#This Row],[Cryptopraphy]]&lt;&gt;"", "E.Info.CRY-1.Assets", "")</f>
        <v/>
      </c>
      <c r="C18" s="595"/>
      <c r="D18" s="105"/>
      <c r="E18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18" s="595"/>
      <c r="G18" s="14"/>
      <c r="H18" s="14"/>
    </row>
    <row r="19" spans="1:8" x14ac:dyDescent="0.3">
      <c r="A19" s="334"/>
      <c r="B19" s="479" t="str">
        <f>IF(EInfo_CRY[[#This Row],[Cryptopraphy]]&lt;&gt;"", "E.Info.CRY-1.Assets", "")</f>
        <v/>
      </c>
      <c r="C19" s="595"/>
      <c r="D19" s="105"/>
      <c r="E19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19" s="595"/>
      <c r="G19" s="14"/>
      <c r="H19" s="14"/>
    </row>
    <row r="20" spans="1:8" x14ac:dyDescent="0.3">
      <c r="A20" s="334"/>
      <c r="B20" s="479" t="str">
        <f>IF(EInfo_CRY[[#This Row],[Cryptopraphy]]&lt;&gt;"", "E.Info.CRY-1.Assets", "")</f>
        <v/>
      </c>
      <c r="C20" s="595"/>
      <c r="D20" s="105"/>
      <c r="E20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20" s="595"/>
      <c r="G20" s="14"/>
      <c r="H20" s="14"/>
    </row>
    <row r="21" spans="1:8" x14ac:dyDescent="0.3">
      <c r="A21" s="334"/>
      <c r="B21" s="479" t="str">
        <f>IF(EInfo_CRY[[#This Row],[Cryptopraphy]]&lt;&gt;"", "E.Info.CRY-1.Assets", "")</f>
        <v/>
      </c>
      <c r="C21" s="595"/>
      <c r="D21" s="105"/>
      <c r="E21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21" s="595"/>
      <c r="G21" s="14"/>
      <c r="H21" s="14"/>
    </row>
    <row r="22" spans="1:8" x14ac:dyDescent="0.3">
      <c r="A22" s="334"/>
      <c r="B22" s="479" t="str">
        <f>IF(EInfo_CRY[[#This Row],[Cryptopraphy]]&lt;&gt;"", "E.Info.CRY-1.Assets", "")</f>
        <v/>
      </c>
      <c r="C22" s="595"/>
      <c r="D22" s="105"/>
      <c r="E22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22" s="595"/>
      <c r="G22" s="14"/>
      <c r="H22" s="14"/>
    </row>
    <row r="23" spans="1:8" x14ac:dyDescent="0.3">
      <c r="A23" s="334"/>
      <c r="B23" s="479" t="str">
        <f>IF(EInfo_CRY[[#This Row],[Cryptopraphy]]&lt;&gt;"", "E.Info.CRY-1.Assets", "")</f>
        <v/>
      </c>
      <c r="C23" s="595"/>
      <c r="D23" s="105"/>
      <c r="E23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23" s="595"/>
      <c r="G23" s="14"/>
      <c r="H23" s="14"/>
    </row>
    <row r="24" spans="1:8" x14ac:dyDescent="0.3">
      <c r="A24" s="334"/>
      <c r="B24" s="479" t="str">
        <f>IF(EInfo_CRY[[#This Row],[Cryptopraphy]]&lt;&gt;"", "E.Info.CRY-1.Assets", "")</f>
        <v/>
      </c>
      <c r="C24" s="595"/>
      <c r="D24" s="105"/>
      <c r="E24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24" s="595"/>
      <c r="G24" s="14"/>
      <c r="H24" s="14"/>
    </row>
    <row r="25" spans="1:8" x14ac:dyDescent="0.3">
      <c r="A25" s="334"/>
      <c r="B25" s="479" t="str">
        <f>IF(EInfo_CRY[[#This Row],[Cryptopraphy]]&lt;&gt;"", "E.Info.CRY-1.Assets", "")</f>
        <v/>
      </c>
      <c r="C25" s="595"/>
      <c r="D25" s="105"/>
      <c r="E25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25" s="595"/>
      <c r="G25" s="14"/>
      <c r="H25" s="14"/>
    </row>
    <row r="26" spans="1:8" x14ac:dyDescent="0.3">
      <c r="A26" s="334"/>
      <c r="B26" s="479" t="str">
        <f>IF(EInfo_CRY[[#This Row],[Cryptopraphy]]&lt;&gt;"", "E.Info.CRY-1.Assets", "")</f>
        <v/>
      </c>
      <c r="C26" s="595"/>
      <c r="D26" s="105"/>
      <c r="E26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26" s="595"/>
      <c r="G26" s="14"/>
      <c r="H26" s="14"/>
    </row>
    <row r="27" spans="1:8" x14ac:dyDescent="0.3">
      <c r="A27" s="334"/>
      <c r="B27" s="479" t="str">
        <f>IF(EInfo_CRY[[#This Row],[Cryptopraphy]]&lt;&gt;"", "E.Info.CRY-1.Assets", "")</f>
        <v/>
      </c>
      <c r="C27" s="595"/>
      <c r="D27" s="105"/>
      <c r="E27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27" s="595"/>
      <c r="G27" s="14"/>
      <c r="H27" s="14"/>
    </row>
    <row r="28" spans="1:8" x14ac:dyDescent="0.3">
      <c r="A28" s="334"/>
      <c r="B28" s="479" t="str">
        <f>IF(EInfo_CRY[[#This Row],[Cryptopraphy]]&lt;&gt;"", "E.Info.CRY-1.Assets", "")</f>
        <v/>
      </c>
      <c r="C28" s="595"/>
      <c r="D28" s="105"/>
      <c r="E28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28" s="595"/>
      <c r="G28" s="14"/>
      <c r="H28" s="14"/>
    </row>
    <row r="29" spans="1:8" x14ac:dyDescent="0.3">
      <c r="A29" s="334"/>
      <c r="B29" s="479" t="str">
        <f>IF(EInfo_CRY[[#This Row],[Cryptopraphy]]&lt;&gt;"", "E.Info.CRY-1.Assets", "")</f>
        <v/>
      </c>
      <c r="C29" s="595"/>
      <c r="D29" s="105"/>
      <c r="E29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29" s="595"/>
      <c r="G29" s="14"/>
      <c r="H29" s="14"/>
    </row>
    <row r="30" spans="1:8" x14ac:dyDescent="0.3">
      <c r="A30" s="334"/>
      <c r="B30" s="479" t="str">
        <f>IF(EInfo_CRY[[#This Row],[Cryptopraphy]]&lt;&gt;"", "E.Info.CRY-1.Assets", "")</f>
        <v/>
      </c>
      <c r="C30" s="595"/>
      <c r="D30" s="105"/>
      <c r="E30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30" s="595"/>
      <c r="G30" s="14"/>
      <c r="H30" s="14"/>
    </row>
    <row r="31" spans="1:8" x14ac:dyDescent="0.3">
      <c r="A31" s="334"/>
      <c r="B31" s="479" t="str">
        <f>IF(EInfo_CRY[[#This Row],[Cryptopraphy]]&lt;&gt;"", "E.Info.CRY-1.Assets", "")</f>
        <v/>
      </c>
      <c r="C31" s="595"/>
      <c r="D31" s="105"/>
      <c r="E31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31" s="595"/>
      <c r="G31" s="14"/>
      <c r="H31" s="14"/>
    </row>
    <row r="32" spans="1:8" x14ac:dyDescent="0.3">
      <c r="A32" s="336"/>
      <c r="B32" s="479" t="str">
        <f>IF(EInfo_CRY[[#This Row],[Cryptopraphy]]&lt;&gt;"", "E.Info.CRY-1.Assets", "")</f>
        <v/>
      </c>
      <c r="C32" s="596"/>
      <c r="D32" s="105"/>
      <c r="E32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32" s="596"/>
      <c r="G32" s="14"/>
      <c r="H32" s="14"/>
    </row>
    <row r="33" spans="1:8" x14ac:dyDescent="0.3">
      <c r="A33" s="125"/>
      <c r="B33" s="479" t="str">
        <f>IF(EInfo_CRY[[#This Row],[Cryptopraphy]]&lt;&gt;"", "E.Info.CRY-1.Assets", "")</f>
        <v/>
      </c>
      <c r="C33" s="597"/>
      <c r="D33" s="105"/>
      <c r="E33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33" s="595"/>
      <c r="H33" s="14"/>
    </row>
    <row r="34" spans="1:8" x14ac:dyDescent="0.3">
      <c r="A34" s="125"/>
      <c r="B34" s="479" t="str">
        <f>IF(EInfo_CRY[[#This Row],[Cryptopraphy]]&lt;&gt;"", "E.Info.CRY-1.Assets", "")</f>
        <v/>
      </c>
      <c r="C34" s="597"/>
      <c r="D34" s="105"/>
      <c r="E34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34" s="595"/>
      <c r="H34" s="14"/>
    </row>
    <row r="35" spans="1:8" x14ac:dyDescent="0.3">
      <c r="A35" s="125"/>
      <c r="B35" s="479" t="str">
        <f>IF(EInfo_CRY[[#This Row],[Cryptopraphy]]&lt;&gt;"", "E.Info.CRY-1.Assets", "")</f>
        <v/>
      </c>
      <c r="C35" s="597"/>
      <c r="D35" s="105"/>
      <c r="E35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35" s="595"/>
      <c r="H35" s="14"/>
    </row>
    <row r="36" spans="1:8" x14ac:dyDescent="0.3">
      <c r="A36" s="125"/>
      <c r="B36" s="479" t="str">
        <f>IF(EInfo_CRY[[#This Row],[Cryptopraphy]]&lt;&gt;"", "E.Info.CRY-1.Assets", "")</f>
        <v/>
      </c>
      <c r="C36" s="597"/>
      <c r="D36" s="105"/>
      <c r="E36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36" s="595"/>
      <c r="H36" s="14"/>
    </row>
    <row r="37" spans="1:8" x14ac:dyDescent="0.3">
      <c r="A37" s="125"/>
      <c r="B37" s="479" t="str">
        <f>IF(EInfo_CRY[[#This Row],[Cryptopraphy]]&lt;&gt;"", "E.Info.CRY-1.Assets", "")</f>
        <v/>
      </c>
      <c r="C37" s="597"/>
      <c r="D37" s="105"/>
      <c r="E37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37" s="595"/>
      <c r="H37" s="14"/>
    </row>
    <row r="38" spans="1:8" x14ac:dyDescent="0.3">
      <c r="A38" s="125"/>
      <c r="B38" s="479" t="str">
        <f>IF(EInfo_CRY[[#This Row],[Cryptopraphy]]&lt;&gt;"", "E.Info.CRY-1.Assets", "")</f>
        <v/>
      </c>
      <c r="C38" s="597"/>
      <c r="D38" s="105"/>
      <c r="E38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38" s="595"/>
      <c r="H38" s="14"/>
    </row>
    <row r="39" spans="1:8" x14ac:dyDescent="0.3">
      <c r="A39" s="125"/>
      <c r="B39" s="479" t="str">
        <f>IF(EInfo_CRY[[#This Row],[Cryptopraphy]]&lt;&gt;"", "E.Info.CRY-1.Assets", "")</f>
        <v/>
      </c>
      <c r="C39" s="597"/>
      <c r="D39" s="105"/>
      <c r="E39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39" s="595"/>
      <c r="H39" s="14"/>
    </row>
    <row r="40" spans="1:8" x14ac:dyDescent="0.3">
      <c r="A40" s="125"/>
      <c r="B40" s="479" t="str">
        <f>IF(EInfo_CRY[[#This Row],[Cryptopraphy]]&lt;&gt;"", "E.Info.CRY-1.Assets", "")</f>
        <v/>
      </c>
      <c r="C40" s="597"/>
      <c r="D40" s="105"/>
      <c r="E40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40" s="595"/>
      <c r="H40" s="14"/>
    </row>
    <row r="41" spans="1:8" x14ac:dyDescent="0.3">
      <c r="A41" s="125"/>
      <c r="B41" s="479" t="str">
        <f>IF(EInfo_CRY[[#This Row],[Cryptopraphy]]&lt;&gt;"", "E.Info.CRY-1.Assets", "")</f>
        <v/>
      </c>
      <c r="C41" s="597"/>
      <c r="D41" s="105"/>
      <c r="E41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41" s="595"/>
      <c r="H41" s="14"/>
    </row>
    <row r="42" spans="1:8" x14ac:dyDescent="0.3">
      <c r="A42" s="125"/>
      <c r="B42" s="479" t="str">
        <f>IF(EInfo_CRY[[#This Row],[Cryptopraphy]]&lt;&gt;"", "E.Info.CRY-1.Assets", "")</f>
        <v/>
      </c>
      <c r="C42" s="597"/>
      <c r="D42" s="105"/>
      <c r="E42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42" s="595"/>
      <c r="H42" s="14"/>
    </row>
    <row r="43" spans="1:8" x14ac:dyDescent="0.3">
      <c r="A43" s="125"/>
      <c r="B43" s="479" t="str">
        <f>IF(EInfo_CRY[[#This Row],[Cryptopraphy]]&lt;&gt;"", "E.Info.CRY-1.Assets", "")</f>
        <v/>
      </c>
      <c r="C43" s="597"/>
      <c r="D43" s="105"/>
      <c r="E43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43" s="595"/>
      <c r="H43" s="14"/>
    </row>
    <row r="44" spans="1:8" x14ac:dyDescent="0.3">
      <c r="A44" s="125"/>
      <c r="B44" s="479" t="str">
        <f>IF(EInfo_CRY[[#This Row],[Cryptopraphy]]&lt;&gt;"", "E.Info.CRY-1.Assets", "")</f>
        <v/>
      </c>
      <c r="C44" s="597"/>
      <c r="D44" s="105"/>
      <c r="E44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44" s="595"/>
      <c r="H44" s="14"/>
    </row>
    <row r="45" spans="1:8" x14ac:dyDescent="0.3">
      <c r="A45" s="125"/>
      <c r="B45" s="479" t="str">
        <f>IF(EInfo_CRY[[#This Row],[Cryptopraphy]]&lt;&gt;"", "E.Info.CRY-1.Assets", "")</f>
        <v/>
      </c>
      <c r="C45" s="597"/>
      <c r="D45" s="105"/>
      <c r="E45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45" s="595"/>
      <c r="H45" s="14"/>
    </row>
    <row r="46" spans="1:8" x14ac:dyDescent="0.3">
      <c r="A46" s="125"/>
      <c r="B46" s="479" t="str">
        <f>IF(EInfo_CRY[[#This Row],[Cryptopraphy]]&lt;&gt;"", "E.Info.CRY-1.Assets", "")</f>
        <v/>
      </c>
      <c r="C46" s="597"/>
      <c r="D46" s="105"/>
      <c r="E46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46" s="595"/>
      <c r="H46" s="14"/>
    </row>
    <row r="47" spans="1:8" x14ac:dyDescent="0.3">
      <c r="A47" s="125"/>
      <c r="B47" s="479" t="str">
        <f>IF(EInfo_CRY[[#This Row],[Cryptopraphy]]&lt;&gt;"", "E.Info.CRY-1.Assets", "")</f>
        <v/>
      </c>
      <c r="C47" s="597"/>
      <c r="D47" s="105"/>
      <c r="E47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47" s="595"/>
      <c r="H47" s="14"/>
    </row>
    <row r="48" spans="1:8" x14ac:dyDescent="0.3">
      <c r="A48" s="125"/>
      <c r="B48" s="479" t="str">
        <f>IF(EInfo_CRY[[#This Row],[Cryptopraphy]]&lt;&gt;"", "E.Info.CRY-1.Assets", "")</f>
        <v/>
      </c>
      <c r="C48" s="597"/>
      <c r="D48" s="105"/>
      <c r="E48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48" s="595"/>
      <c r="H48" s="14"/>
    </row>
    <row r="49" spans="1:8" x14ac:dyDescent="0.3">
      <c r="A49" s="125"/>
      <c r="B49" s="479" t="str">
        <f>IF(EInfo_CRY[[#This Row],[Cryptopraphy]]&lt;&gt;"", "E.Info.CRY-1.Assets", "")</f>
        <v/>
      </c>
      <c r="C49" s="597"/>
      <c r="D49" s="105"/>
      <c r="E49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49" s="595"/>
      <c r="H49" s="14"/>
    </row>
    <row r="50" spans="1:8" x14ac:dyDescent="0.3">
      <c r="A50" s="125"/>
      <c r="B50" s="479" t="str">
        <f>IF(EInfo_CRY[[#This Row],[Cryptopraphy]]&lt;&gt;"", "E.Info.CRY-1.Assets", "")</f>
        <v/>
      </c>
      <c r="C50" s="597"/>
      <c r="D50" s="105"/>
      <c r="E50" s="354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50" s="595"/>
      <c r="H50" s="14"/>
    </row>
    <row r="51" spans="1:8" x14ac:dyDescent="0.3">
      <c r="A51" s="431"/>
      <c r="B51" s="480" t="str">
        <f>IF(EInfo_CRY[[#This Row],[Cryptopraphy]]&lt;&gt;"", "E.Info.CRY-1.Assets", "")</f>
        <v/>
      </c>
      <c r="C51" s="598"/>
      <c r="D51" s="112"/>
      <c r="E51" s="355" t="str">
        <f>IF(EInfo_CRY[[#This Row],[Cryptopraphy]]&lt;&gt;"",
    _xlfn.TEXTJOIN(", "&amp;CHAR(10), TRUE, "E.Info.CRY-1.Assets.Cryptography",
    IFERROR(IF(VALUE(RIGHT(EInfo_CRY[[#This Row],[E.Info.DT.CRY-1]]))=2, "E.Info.CRY-1.Assets.Deviation", ""), "")), "")</f>
        <v/>
      </c>
      <c r="F51" s="596"/>
      <c r="H51" s="14"/>
    </row>
  </sheetData>
  <sheetProtection algorithmName="SHA-512" hashValue="wpyCgebttERpfRXViemRbjlEk5oBGuVOPc5ns99Cb414Le/IkC/McVfIEgAKeDh3NAY2coMqN+aCTUbW73yfcA==" saltValue="svVyEhq+Pk9Rr9EI6781+g==" spinCount="100000" sheet="1" objects="1" scenarios="1" formatCells="0" formatColumns="0" formatRows="0" sort="0"/>
  <protectedRanges>
    <protectedRange sqref="F4:F51" name="CRY_1_3"/>
    <protectedRange sqref="C4:C51" name="CRY_1_2"/>
    <protectedRange sqref="A4:A51" name="CRY_1_1"/>
    <protectedRange sqref="D4:D51" name="DT_CRY_1"/>
  </protectedRanges>
  <dataValidations count="1">
    <dataValidation type="list" allowBlank="1" showInputMessage="1" showErrorMessage="1" sqref="D4:D51" xr:uid="{94A590B0-EA9F-44BD-9636-B4D795A1AB7D}">
      <formula1>"N/A,DT.CRY-1.DN-1,DT.CRY-1.DN-2"</formula1>
    </dataValidation>
  </dataValidations>
  <pageMargins left="0.7" right="0.7" top="0.75" bottom="0.75" header="0.3" footer="0.3"/>
  <pageSetup paperSize="9" orientation="portrait" r:id="rId1"/>
  <ignoredErrors>
    <ignoredError sqref="E4 E5:E51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A9987-7E32-4F15-AAFF-337F0628BFC0}">
  <sheetPr>
    <tabColor theme="2" tint="0.79998168889431442"/>
    <pageSetUpPr autoPageBreaks="0"/>
  </sheetPr>
  <dimension ref="A1:Q50"/>
  <sheetViews>
    <sheetView zoomScaleNormal="100" workbookViewId="0"/>
  </sheetViews>
  <sheetFormatPr defaultColWidth="51.875" defaultRowHeight="16.5" x14ac:dyDescent="0.3"/>
  <cols>
    <col min="1" max="1" width="20.75" customWidth="1"/>
    <col min="2" max="2" width="26.75" customWidth="1"/>
    <col min="3" max="3" width="27.625" customWidth="1"/>
    <col min="4" max="4" width="23.875" customWidth="1"/>
    <col min="5" max="5" width="25" customWidth="1"/>
    <col min="6" max="7" width="32.25" customWidth="1"/>
    <col min="9" max="9" width="39.75" customWidth="1"/>
    <col min="10" max="10" width="48.625" customWidth="1"/>
    <col min="11" max="11" width="47" customWidth="1"/>
    <col min="12" max="12" width="35.5" customWidth="1"/>
    <col min="13" max="13" width="32.5" style="494" customWidth="1"/>
    <col min="14" max="15" width="33.75" style="494" customWidth="1"/>
    <col min="16" max="16" width="33.875" style="494" customWidth="1"/>
    <col min="17" max="17" width="18.25" style="494" customWidth="1"/>
    <col min="18" max="16384" width="51.875" style="495"/>
  </cols>
  <sheetData>
    <row r="1" spans="1:17" s="195" customFormat="1" ht="50.25" thickBot="1" x14ac:dyDescent="0.35">
      <c r="A1" s="508" t="s">
        <v>85</v>
      </c>
      <c r="B1" s="509" t="s">
        <v>84</v>
      </c>
      <c r="C1" s="509" t="s">
        <v>88</v>
      </c>
      <c r="D1" s="509" t="s">
        <v>90</v>
      </c>
      <c r="E1" s="509" t="s">
        <v>89</v>
      </c>
      <c r="F1" s="539" t="s">
        <v>129</v>
      </c>
      <c r="G1" s="539" t="s">
        <v>123</v>
      </c>
      <c r="H1" s="509" t="s">
        <v>430</v>
      </c>
      <c r="I1" s="509" t="s">
        <v>429</v>
      </c>
      <c r="J1" s="509" t="s">
        <v>428</v>
      </c>
      <c r="K1" s="540" t="s">
        <v>431</v>
      </c>
      <c r="M1" s="496" t="s">
        <v>130</v>
      </c>
      <c r="N1" s="497" t="s">
        <v>132</v>
      </c>
      <c r="O1" s="497" t="s">
        <v>180</v>
      </c>
      <c r="P1" s="498" t="s">
        <v>181</v>
      </c>
      <c r="Q1" s="499" t="s">
        <v>182</v>
      </c>
    </row>
    <row r="2" spans="1:17" customFormat="1" ht="49.5" x14ac:dyDescent="0.3">
      <c r="A2" s="541"/>
      <c r="B2" s="542"/>
      <c r="C2" s="543"/>
      <c r="D2" s="514"/>
      <c r="E2" s="514"/>
      <c r="F2" s="544" t="str">
        <f>M2</f>
        <v/>
      </c>
      <c r="G2" s="544" t="str">
        <f t="shared" ref="G2:G50" si="0">O2</f>
        <v/>
      </c>
      <c r="H2" s="514"/>
      <c r="I2" s="514"/>
      <c r="J2" s="514"/>
      <c r="K2" s="545"/>
      <c r="M2" s="483" t="str" cm="1">
        <f t="array" ref="M2:M50">Mapping_Assets_Interfaces!B6:B54</f>
        <v/>
      </c>
      <c r="N2" s="484" t="str" cm="1">
        <f t="array" ref="N2">IF(M2&lt;&gt;"",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2" s="484" t="str" cm="1">
        <f t="array" ref="O2:O50">Mapping_Assets_Entities!B5:B53</f>
        <v/>
      </c>
      <c r="P2" s="485" t="str" cm="1">
        <f t="array" ref="P2">IF(Mapping_Assets_Interfaces!$A6="","",
_xlfn.TEXTJOIN(", "&amp;CHAR(10), TRUE, IF(Mapping_Assets_Interfaces!$C6:$AY6&lt;&gt;"",
IF(Mapping_Assets_Interfaces!C$3:AY$3="Network", Mapping_Assets_Interfaces!C$2:AY$2, ""), ""),""))</f>
        <v/>
      </c>
      <c r="Q2" s="486" t="str" cm="1">
        <f t="array" ref="Q2">IFERROR(IF(Mapping_Assets_Interfaces!$A6="","",
_xlfn.TEXTJOIN(", "&amp;CHAR(10), TRUE, _xlfn.UNIQUE(_xlfn.TEXTSPLIT(
_xlfn.TEXTJOIN(", "&amp;CHAR(10), TRUE, IF(Mapping_Assets_Interfaces!$C6:$AY6&lt;&gt;"",
IF(Mapping_Assets_Interfaces!C$3:AY$3="Network", TRANSPOSE(Interfaces[Media for this interface
Dropdown menu]), ""), ""),""),,", "&amp;CHAR(10))))), "")</f>
        <v/>
      </c>
    </row>
    <row r="3" spans="1:17" customFormat="1" x14ac:dyDescent="0.3">
      <c r="A3" s="546"/>
      <c r="B3" s="85"/>
      <c r="C3" s="51"/>
      <c r="D3" s="19"/>
      <c r="E3" s="19"/>
      <c r="F3" s="83" t="str">
        <f t="shared" ref="F3:F50" si="1">M3</f>
        <v/>
      </c>
      <c r="G3" s="83" t="str">
        <f t="shared" si="0"/>
        <v/>
      </c>
      <c r="H3" s="19"/>
      <c r="I3" s="19"/>
      <c r="J3" s="19"/>
      <c r="K3" s="547"/>
      <c r="M3" s="487" t="str">
        <v/>
      </c>
      <c r="N3" s="481" t="str" cm="1">
        <f t="array" ref="N3">IF(M3&lt;&gt;"",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3" s="481" t="str">
        <v/>
      </c>
      <c r="P3" s="482" t="str" cm="1">
        <f t="array" ref="P3">IF(Mapping_Assets_Interfaces!$A7="","",
_xlfn.TEXTJOIN(", "&amp;CHAR(10), TRUE, IF(Mapping_Assets_Interfaces!$C7:$AY7&lt;&gt;"",
IF(Mapping_Assets_Interfaces!C$3:AY$3="Network", Mapping_Assets_Interfaces!C$2:AY$2, ""), ""),""))</f>
        <v/>
      </c>
      <c r="Q3" s="488" t="str" cm="1">
        <f t="array" ref="Q3">IFERROR(IF(Mapping_Assets_Interfaces!$A7="","",
_xlfn.TEXTJOIN(", "&amp;CHAR(10), TRUE, _xlfn.UNIQUE(_xlfn.TEXTSPLIT(
_xlfn.TEXTJOIN(", "&amp;CHAR(10), TRUE, IF(Mapping_Assets_Interfaces!$C7:$AY7&lt;&gt;"",
IF(Mapping_Assets_Interfaces!C$3:AY$3="Network", TRANSPOSE(Interfaces[Media for this interface
Dropdown menu]), ""), ""),""),,", "&amp;CHAR(10))))), "")</f>
        <v/>
      </c>
    </row>
    <row r="4" spans="1:17" customFormat="1" x14ac:dyDescent="0.3">
      <c r="A4" s="546"/>
      <c r="B4" s="85"/>
      <c r="C4" s="51"/>
      <c r="D4" s="19"/>
      <c r="E4" s="19"/>
      <c r="F4" s="83" t="str">
        <f t="shared" si="1"/>
        <v/>
      </c>
      <c r="G4" s="83" t="str">
        <f t="shared" si="0"/>
        <v/>
      </c>
      <c r="H4" s="19"/>
      <c r="I4" s="19"/>
      <c r="J4" s="19"/>
      <c r="K4" s="547"/>
      <c r="M4" s="487" t="str">
        <v/>
      </c>
      <c r="N4" s="481" t="str" cm="1">
        <f t="array" ref="N4">IF(M4&lt;&gt;"",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4" s="481" t="str">
        <v/>
      </c>
      <c r="P4" s="482" t="str" cm="1">
        <f t="array" ref="P4">IF(Mapping_Assets_Interfaces!$A8="","",
_xlfn.TEXTJOIN(", "&amp;CHAR(10), TRUE, IF(Mapping_Assets_Interfaces!$C8:$AY8&lt;&gt;"",
IF(Mapping_Assets_Interfaces!C$3:AY$3="Network", Mapping_Assets_Interfaces!C$2:AY$2, ""), ""),""))</f>
        <v/>
      </c>
      <c r="Q4" s="488" t="str" cm="1">
        <f t="array" ref="Q4">IFERROR(IF(Mapping_Assets_Interfaces!$A8="","",
_xlfn.TEXTJOIN(", "&amp;CHAR(10), TRUE, _xlfn.UNIQUE(_xlfn.TEXTSPLIT(
_xlfn.TEXTJOIN(", "&amp;CHAR(10), TRUE, IF(Mapping_Assets_Interfaces!$C8:$AY8&lt;&gt;"",
IF(Mapping_Assets_Interfaces!C$3:AY$3="Network", TRANSPOSE(Interfaces[Media for this interface
Dropdown menu]), ""), ""),""),,", "&amp;CHAR(10))))), "")</f>
        <v/>
      </c>
    </row>
    <row r="5" spans="1:17" customFormat="1" x14ac:dyDescent="0.3">
      <c r="A5" s="548"/>
      <c r="B5" s="85"/>
      <c r="C5" s="51"/>
      <c r="D5" s="19"/>
      <c r="E5" s="19"/>
      <c r="F5" s="83" t="str">
        <f t="shared" si="1"/>
        <v/>
      </c>
      <c r="G5" s="83" t="str">
        <f t="shared" si="0"/>
        <v/>
      </c>
      <c r="H5" s="19"/>
      <c r="I5" s="19"/>
      <c r="J5" s="19"/>
      <c r="K5" s="547"/>
      <c r="M5" s="487" t="str">
        <v/>
      </c>
      <c r="N5" s="481" t="str" cm="1">
        <f t="array" ref="N5">IF(M5&lt;&gt;"",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5" s="481" t="str">
        <v/>
      </c>
      <c r="P5" s="482" t="str" cm="1">
        <f t="array" ref="P5">IF(Mapping_Assets_Interfaces!$A9="","",
_xlfn.TEXTJOIN(", "&amp;CHAR(10), TRUE, IF(Mapping_Assets_Interfaces!$C9:$AY9&lt;&gt;"",
IF(Mapping_Assets_Interfaces!C$3:AY$3="Network", Mapping_Assets_Interfaces!C$2:AY$2, ""), ""),""))</f>
        <v/>
      </c>
      <c r="Q5" s="488" t="str" cm="1">
        <f t="array" ref="Q5">IFERROR(IF(Mapping_Assets_Interfaces!$A9="","",
_xlfn.TEXTJOIN(", "&amp;CHAR(10), TRUE, _xlfn.UNIQUE(_xlfn.TEXTSPLIT(
_xlfn.TEXTJOIN(", "&amp;CHAR(10), TRUE, IF(Mapping_Assets_Interfaces!$C9:$AY9&lt;&gt;"",
IF(Mapping_Assets_Interfaces!C$3:AY$3="Network", TRANSPOSE(Interfaces[Media for this interface
Dropdown menu]), ""), ""),""),,", "&amp;CHAR(10))))), "")</f>
        <v/>
      </c>
    </row>
    <row r="6" spans="1:17" customFormat="1" x14ac:dyDescent="0.3">
      <c r="A6" s="548"/>
      <c r="B6" s="85"/>
      <c r="C6" s="51"/>
      <c r="D6" s="19"/>
      <c r="E6" s="19"/>
      <c r="F6" s="83" t="str">
        <f t="shared" si="1"/>
        <v/>
      </c>
      <c r="G6" s="83" t="str">
        <f t="shared" si="0"/>
        <v/>
      </c>
      <c r="H6" s="19"/>
      <c r="I6" s="19"/>
      <c r="J6" s="19"/>
      <c r="K6" s="547"/>
      <c r="M6" s="489" t="str">
        <v/>
      </c>
      <c r="N6" s="481" t="str" cm="1">
        <f t="array" ref="N6">IF(M6&lt;&gt;"",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6" s="481" t="str">
        <v/>
      </c>
      <c r="P6" s="482" t="str" cm="1">
        <f t="array" ref="P6">IF(Mapping_Assets_Interfaces!$A10="","",
_xlfn.TEXTJOIN(", "&amp;CHAR(10), TRUE, IF(Mapping_Assets_Interfaces!$C10:$AY10&lt;&gt;"",
IF(Mapping_Assets_Interfaces!C$3:AY$3="Network", Mapping_Assets_Interfaces!C$2:AY$2, ""), ""),""))</f>
        <v/>
      </c>
      <c r="Q6" s="488" t="str" cm="1">
        <f t="array" ref="Q6">IFERROR(IF(Mapping_Assets_Interfaces!$A10="","",
_xlfn.TEXTJOIN(", "&amp;CHAR(10), TRUE, _xlfn.UNIQUE(_xlfn.TEXTSPLIT(
_xlfn.TEXTJOIN(", "&amp;CHAR(10), TRUE, IF(Mapping_Assets_Interfaces!$C10:$AY10&lt;&gt;"",
IF(Mapping_Assets_Interfaces!C$3:AY$3="Network", TRANSPOSE(Interfaces[Media for this interface
Dropdown menu]), ""), ""),""),,", "&amp;CHAR(10))))), "")</f>
        <v/>
      </c>
    </row>
    <row r="7" spans="1:17" customFormat="1" x14ac:dyDescent="0.3">
      <c r="A7" s="549"/>
      <c r="B7" s="84"/>
      <c r="C7" s="51"/>
      <c r="D7" s="19"/>
      <c r="E7" s="19"/>
      <c r="F7" s="83" t="str">
        <f t="shared" si="1"/>
        <v/>
      </c>
      <c r="G7" s="83" t="str">
        <f t="shared" si="0"/>
        <v/>
      </c>
      <c r="H7" s="19"/>
      <c r="I7" s="19"/>
      <c r="J7" s="19"/>
      <c r="K7" s="547"/>
      <c r="M7" s="489" t="str">
        <v/>
      </c>
      <c r="N7" s="481" t="str" cm="1">
        <f t="array" ref="N7">IF(M7&lt;&gt;"",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7" s="481" t="str">
        <v/>
      </c>
      <c r="P7" s="482" t="str" cm="1">
        <f t="array" ref="P7">IF(Mapping_Assets_Interfaces!$A11="","",
_xlfn.TEXTJOIN(", "&amp;CHAR(10), TRUE, IF(Mapping_Assets_Interfaces!$C11:$AY11&lt;&gt;"",
IF(Mapping_Assets_Interfaces!C$3:AY$3="Network", Mapping_Assets_Interfaces!C$2:AY$2, ""), ""),""))</f>
        <v/>
      </c>
      <c r="Q7" s="488" t="str" cm="1">
        <f t="array" ref="Q7">IFERROR(IF(Mapping_Assets_Interfaces!$A11="","",
_xlfn.TEXTJOIN(", "&amp;CHAR(10), TRUE, _xlfn.UNIQUE(_xlfn.TEXTSPLIT(
_xlfn.TEXTJOIN(", "&amp;CHAR(10), TRUE, IF(Mapping_Assets_Interfaces!$C11:$AY11&lt;&gt;"",
IF(Mapping_Assets_Interfaces!C$3:AY$3="Network", TRANSPOSE(Interfaces[Media for this interface
Dropdown menu]), ""), ""),""),,", "&amp;CHAR(10))))), "")</f>
        <v/>
      </c>
    </row>
    <row r="8" spans="1:17" customFormat="1" x14ac:dyDescent="0.3">
      <c r="A8" s="546"/>
      <c r="B8" s="85"/>
      <c r="C8" s="51"/>
      <c r="D8" s="19"/>
      <c r="E8" s="19"/>
      <c r="F8" s="83" t="str">
        <f t="shared" si="1"/>
        <v/>
      </c>
      <c r="G8" s="83" t="str">
        <f t="shared" si="0"/>
        <v/>
      </c>
      <c r="H8" s="19"/>
      <c r="I8" s="19"/>
      <c r="J8" s="19"/>
      <c r="K8" s="547"/>
      <c r="M8" s="489" t="str">
        <v/>
      </c>
      <c r="N8" s="481" t="str" cm="1">
        <f t="array" ref="N8">IF(M8&lt;&gt;"",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8" s="481" t="str">
        <v/>
      </c>
      <c r="P8" s="482" t="str" cm="1">
        <f t="array" ref="P8">IF(Mapping_Assets_Interfaces!$A12="","",
_xlfn.TEXTJOIN(", "&amp;CHAR(10), TRUE, IF(Mapping_Assets_Interfaces!$C12:$AY12&lt;&gt;"",
IF(Mapping_Assets_Interfaces!C$3:AY$3="Network", Mapping_Assets_Interfaces!C$2:AY$2, ""), ""),""))</f>
        <v/>
      </c>
      <c r="Q8" s="488" t="str" cm="1">
        <f t="array" ref="Q8">IFERROR(IF(Mapping_Assets_Interfaces!$A12="","",
_xlfn.TEXTJOIN(", "&amp;CHAR(10), TRUE, _xlfn.UNIQUE(_xlfn.TEXTSPLIT(
_xlfn.TEXTJOIN(", "&amp;CHAR(10), TRUE, IF(Mapping_Assets_Interfaces!$C12:$AY12&lt;&gt;"",
IF(Mapping_Assets_Interfaces!C$3:AY$3="Network", TRANSPOSE(Interfaces[Media for this interface
Dropdown menu]), ""), ""),""),,", "&amp;CHAR(10))))), "")</f>
        <v/>
      </c>
    </row>
    <row r="9" spans="1:17" customFormat="1" x14ac:dyDescent="0.3">
      <c r="A9" s="546"/>
      <c r="B9" s="85"/>
      <c r="C9" s="51"/>
      <c r="D9" s="19"/>
      <c r="E9" s="19"/>
      <c r="F9" s="83" t="str">
        <f t="shared" si="1"/>
        <v/>
      </c>
      <c r="G9" s="83" t="str">
        <f t="shared" si="0"/>
        <v/>
      </c>
      <c r="H9" s="19"/>
      <c r="I9" s="19"/>
      <c r="J9" s="19"/>
      <c r="K9" s="547"/>
      <c r="M9" s="489" t="str">
        <v/>
      </c>
      <c r="N9" s="481" t="str" cm="1">
        <f t="array" ref="N9">IF(M9&lt;&gt;"",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9" s="481" t="str">
        <v/>
      </c>
      <c r="P9" s="482" t="str" cm="1">
        <f t="array" ref="P9">IF(Mapping_Assets_Interfaces!$A13="","",
_xlfn.TEXTJOIN(", "&amp;CHAR(10), TRUE, IF(Mapping_Assets_Interfaces!$C13:$AY13&lt;&gt;"",
IF(Mapping_Assets_Interfaces!C$3:AY$3="Network", Mapping_Assets_Interfaces!C$2:AY$2, ""), ""),""))</f>
        <v/>
      </c>
      <c r="Q9" s="488" t="str" cm="1">
        <f t="array" ref="Q9">IFERROR(IF(Mapping_Assets_Interfaces!$A13="","",
_xlfn.TEXTJOIN(", "&amp;CHAR(10), TRUE, _xlfn.UNIQUE(_xlfn.TEXTSPLIT(
_xlfn.TEXTJOIN(", "&amp;CHAR(10), TRUE, IF(Mapping_Assets_Interfaces!$C13:$AY13&lt;&gt;"",
IF(Mapping_Assets_Interfaces!C$3:AY$3="Network", TRANSPOSE(Interfaces[Media for this interface
Dropdown menu]), ""), ""),""),,", "&amp;CHAR(10))))), "")</f>
        <v/>
      </c>
    </row>
    <row r="10" spans="1:17" customFormat="1" x14ac:dyDescent="0.3">
      <c r="A10" s="548"/>
      <c r="B10" s="85"/>
      <c r="C10" s="51"/>
      <c r="D10" s="19"/>
      <c r="E10" s="19"/>
      <c r="F10" s="83" t="str">
        <f t="shared" si="1"/>
        <v/>
      </c>
      <c r="G10" s="83" t="str">
        <f t="shared" si="0"/>
        <v/>
      </c>
      <c r="H10" s="19"/>
      <c r="I10" s="19"/>
      <c r="J10" s="19"/>
      <c r="K10" s="547"/>
      <c r="M10" s="489" t="str">
        <v/>
      </c>
      <c r="N10" s="481" t="str" cm="1">
        <f t="array" ref="N10">IF(M10&lt;&gt;"",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10" s="481" t="str">
        <v/>
      </c>
      <c r="P10" s="482" t="str" cm="1">
        <f t="array" ref="P10">IF(Mapping_Assets_Interfaces!$A14="","",
_xlfn.TEXTJOIN(", "&amp;CHAR(10), TRUE, IF(Mapping_Assets_Interfaces!$C14:$AY14&lt;&gt;"",
IF(Mapping_Assets_Interfaces!C$3:AY$3="Network", Mapping_Assets_Interfaces!C$2:AY$2, ""), ""),""))</f>
        <v/>
      </c>
      <c r="Q10" s="488" t="str" cm="1">
        <f t="array" ref="Q10">IFERROR(IF(Mapping_Assets_Interfaces!$A14="","",
_xlfn.TEXTJOIN(", "&amp;CHAR(10), TRUE, _xlfn.UNIQUE(_xlfn.TEXTSPLIT(
_xlfn.TEXTJOIN(", "&amp;CHAR(10), TRUE, IF(Mapping_Assets_Interfaces!$C14:$AY14&lt;&gt;"",
IF(Mapping_Assets_Interfaces!C$3:AY$3="Network", TRANSPOSE(Interfaces[Media for this interface
Dropdown menu]), ""), ""),""),,", "&amp;CHAR(10))))), "")</f>
        <v/>
      </c>
    </row>
    <row r="11" spans="1:17" customFormat="1" x14ac:dyDescent="0.3">
      <c r="A11" s="548"/>
      <c r="B11" s="85"/>
      <c r="C11" s="51"/>
      <c r="D11" s="19"/>
      <c r="E11" s="19"/>
      <c r="F11" s="83" t="str">
        <f t="shared" si="1"/>
        <v/>
      </c>
      <c r="G11" s="83" t="str">
        <f t="shared" si="0"/>
        <v/>
      </c>
      <c r="H11" s="19"/>
      <c r="I11" s="19"/>
      <c r="J11" s="19"/>
      <c r="K11" s="547"/>
      <c r="M11" s="489" t="str">
        <v/>
      </c>
      <c r="N11" s="481" t="str" cm="1">
        <f t="array" ref="N11">IF(M11&lt;&gt;"",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11" s="481" t="str">
        <v/>
      </c>
      <c r="P11" s="482" t="str" cm="1">
        <f t="array" ref="P11">IF(Mapping_Assets_Interfaces!$A15="","",
_xlfn.TEXTJOIN(", "&amp;CHAR(10), TRUE, IF(Mapping_Assets_Interfaces!$C15:$AY15&lt;&gt;"",
IF(Mapping_Assets_Interfaces!C$3:AY$3="Network", Mapping_Assets_Interfaces!C$2:AY$2, ""), ""),""))</f>
        <v/>
      </c>
      <c r="Q11" s="488" t="str" cm="1">
        <f t="array" ref="Q11">IFERROR(IF(Mapping_Assets_Interfaces!$A15="","",
_xlfn.TEXTJOIN(", "&amp;CHAR(10), TRUE, _xlfn.UNIQUE(_xlfn.TEXTSPLIT(
_xlfn.TEXTJOIN(", "&amp;CHAR(10), TRUE, IF(Mapping_Assets_Interfaces!$C15:$AY15&lt;&gt;"",
IF(Mapping_Assets_Interfaces!C$3:AY$3="Network", TRANSPOSE(Interfaces[Media for this interface
Dropdown menu]), ""), ""),""),,", "&amp;CHAR(10))))), "")</f>
        <v/>
      </c>
    </row>
    <row r="12" spans="1:17" customFormat="1" x14ac:dyDescent="0.3">
      <c r="A12" s="549"/>
      <c r="B12" s="84"/>
      <c r="C12" s="51"/>
      <c r="D12" s="19"/>
      <c r="E12" s="19"/>
      <c r="F12" s="83" t="str">
        <f t="shared" si="1"/>
        <v/>
      </c>
      <c r="G12" s="83" t="str">
        <f t="shared" si="0"/>
        <v/>
      </c>
      <c r="H12" s="19"/>
      <c r="I12" s="19"/>
      <c r="J12" s="19"/>
      <c r="K12" s="547"/>
      <c r="M12" s="489" t="str">
        <v/>
      </c>
      <c r="N12" s="481" t="str" cm="1">
        <f t="array" ref="N12">IF(M12&lt;&gt;"",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12" s="481" t="str">
        <v/>
      </c>
      <c r="P12" s="482" t="str" cm="1">
        <f t="array" ref="P12">IF(Mapping_Assets_Interfaces!$A16="","",
_xlfn.TEXTJOIN(", "&amp;CHAR(10), TRUE, IF(Mapping_Assets_Interfaces!$C16:$AY16&lt;&gt;"",
IF(Mapping_Assets_Interfaces!C$3:AY$3="Network", Mapping_Assets_Interfaces!C$2:AY$2, ""), ""),""))</f>
        <v/>
      </c>
      <c r="Q12" s="488" t="str" cm="1">
        <f t="array" ref="Q12">IFERROR(IF(Mapping_Assets_Interfaces!$A16="","",
_xlfn.TEXTJOIN(", "&amp;CHAR(10), TRUE, _xlfn.UNIQUE(_xlfn.TEXTSPLIT(
_xlfn.TEXTJOIN(", "&amp;CHAR(10), TRUE, IF(Mapping_Assets_Interfaces!$C16:$AY16&lt;&gt;"",
IF(Mapping_Assets_Interfaces!C$3:AY$3="Network", TRANSPOSE(Interfaces[Media for this interface
Dropdown menu]), ""), ""),""),,", "&amp;CHAR(10))))), "")</f>
        <v/>
      </c>
    </row>
    <row r="13" spans="1:17" customFormat="1" x14ac:dyDescent="0.3">
      <c r="A13" s="546"/>
      <c r="B13" s="85"/>
      <c r="C13" s="51"/>
      <c r="D13" s="19"/>
      <c r="E13" s="19"/>
      <c r="F13" s="83" t="str">
        <f t="shared" si="1"/>
        <v/>
      </c>
      <c r="G13" s="83" t="str">
        <f t="shared" si="0"/>
        <v/>
      </c>
      <c r="H13" s="19"/>
      <c r="I13" s="19"/>
      <c r="J13" s="19"/>
      <c r="K13" s="547"/>
      <c r="M13" s="489" t="str">
        <v/>
      </c>
      <c r="N13" s="481" t="str" cm="1">
        <f t="array" ref="N13">IF(M13&lt;&gt;"",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13" s="481" t="str">
        <v/>
      </c>
      <c r="P13" s="482" t="str" cm="1">
        <f t="array" ref="P13">IF(Mapping_Assets_Interfaces!$A17="","",
_xlfn.TEXTJOIN(", "&amp;CHAR(10), TRUE, IF(Mapping_Assets_Interfaces!$C17:$AY17&lt;&gt;"",
IF(Mapping_Assets_Interfaces!C$3:AY$3="Network", Mapping_Assets_Interfaces!C$2:AY$2, ""), ""),""))</f>
        <v/>
      </c>
      <c r="Q13" s="488" t="str" cm="1">
        <f t="array" ref="Q13">IFERROR(IF(Mapping_Assets_Interfaces!$A17="","",
_xlfn.TEXTJOIN(", "&amp;CHAR(10), TRUE, _xlfn.UNIQUE(_xlfn.TEXTSPLIT(
_xlfn.TEXTJOIN(", "&amp;CHAR(10), TRUE, IF(Mapping_Assets_Interfaces!$C17:$AY17&lt;&gt;"",
IF(Mapping_Assets_Interfaces!C$3:AY$3="Network", TRANSPOSE(Interfaces[Media for this interface
Dropdown menu]), ""), ""),""),,", "&amp;CHAR(10))))), "")</f>
        <v/>
      </c>
    </row>
    <row r="14" spans="1:17" customFormat="1" x14ac:dyDescent="0.3">
      <c r="A14" s="546"/>
      <c r="B14" s="85"/>
      <c r="C14" s="51"/>
      <c r="D14" s="19"/>
      <c r="E14" s="19"/>
      <c r="F14" s="83" t="str">
        <f t="shared" si="1"/>
        <v/>
      </c>
      <c r="G14" s="83" t="str">
        <f t="shared" si="0"/>
        <v/>
      </c>
      <c r="H14" s="19"/>
      <c r="I14" s="19"/>
      <c r="J14" s="19"/>
      <c r="K14" s="547"/>
      <c r="M14" s="489" t="str">
        <v/>
      </c>
      <c r="N14" s="481" t="str" cm="1">
        <f t="array" ref="N14">IF(M14&lt;&gt;"",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14" s="481" t="str">
        <v/>
      </c>
      <c r="P14" s="482" t="str" cm="1">
        <f t="array" ref="P14">IF(Mapping_Assets_Interfaces!$A18="","",
_xlfn.TEXTJOIN(", "&amp;CHAR(10), TRUE, IF(Mapping_Assets_Interfaces!$C18:$AY18&lt;&gt;"",
IF(Mapping_Assets_Interfaces!C$3:AY$3="Network", Mapping_Assets_Interfaces!C$2:AY$2, ""), ""),""))</f>
        <v/>
      </c>
      <c r="Q14" s="488" t="str" cm="1">
        <f t="array" ref="Q14">IFERROR(IF(Mapping_Assets_Interfaces!$A18="","",
_xlfn.TEXTJOIN(", "&amp;CHAR(10), TRUE, _xlfn.UNIQUE(_xlfn.TEXTSPLIT(
_xlfn.TEXTJOIN(", "&amp;CHAR(10), TRUE, IF(Mapping_Assets_Interfaces!$C18:$AY18&lt;&gt;"",
IF(Mapping_Assets_Interfaces!C$3:AY$3="Network", TRANSPOSE(Interfaces[Media for this interface
Dropdown menu]), ""), ""),""),,", "&amp;CHAR(10))))), "")</f>
        <v/>
      </c>
    </row>
    <row r="15" spans="1:17" customFormat="1" x14ac:dyDescent="0.3">
      <c r="A15" s="548"/>
      <c r="B15" s="85"/>
      <c r="C15" s="51"/>
      <c r="D15" s="19"/>
      <c r="E15" s="19"/>
      <c r="F15" s="83" t="str">
        <f t="shared" si="1"/>
        <v/>
      </c>
      <c r="G15" s="83" t="str">
        <f t="shared" si="0"/>
        <v/>
      </c>
      <c r="H15" s="19"/>
      <c r="I15" s="19"/>
      <c r="J15" s="19"/>
      <c r="K15" s="547"/>
      <c r="M15" s="489" t="str">
        <v/>
      </c>
      <c r="N15" s="481" t="str" cm="1">
        <f t="array" ref="N15">IF(M15&lt;&gt;"",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15" s="481" t="str">
        <v/>
      </c>
      <c r="P15" s="482" t="str" cm="1">
        <f t="array" ref="P15">IF(Mapping_Assets_Interfaces!$A19="","",
_xlfn.TEXTJOIN(", "&amp;CHAR(10), TRUE, IF(Mapping_Assets_Interfaces!$C19:$AY19&lt;&gt;"",
IF(Mapping_Assets_Interfaces!C$3:AY$3="Network", Mapping_Assets_Interfaces!C$2:AY$2, ""), ""),""))</f>
        <v/>
      </c>
      <c r="Q15" s="488" t="str" cm="1">
        <f t="array" ref="Q15">IFERROR(IF(Mapping_Assets_Interfaces!$A19="","",
_xlfn.TEXTJOIN(", "&amp;CHAR(10), TRUE, _xlfn.UNIQUE(_xlfn.TEXTSPLIT(
_xlfn.TEXTJOIN(", "&amp;CHAR(10), TRUE, IF(Mapping_Assets_Interfaces!$C19:$AY19&lt;&gt;"",
IF(Mapping_Assets_Interfaces!C$3:AY$3="Network", TRANSPOSE(Interfaces[Media for this interface
Dropdown menu]), ""), ""),""),,", "&amp;CHAR(10))))), "")</f>
        <v/>
      </c>
    </row>
    <row r="16" spans="1:17" customFormat="1" x14ac:dyDescent="0.3">
      <c r="A16" s="548"/>
      <c r="B16" s="85"/>
      <c r="C16" s="51"/>
      <c r="D16" s="19"/>
      <c r="E16" s="19"/>
      <c r="F16" s="83" t="str">
        <f t="shared" si="1"/>
        <v/>
      </c>
      <c r="G16" s="83" t="str">
        <f t="shared" si="0"/>
        <v/>
      </c>
      <c r="H16" s="19"/>
      <c r="I16" s="19"/>
      <c r="J16" s="19"/>
      <c r="K16" s="547"/>
      <c r="M16" s="489" t="str">
        <v/>
      </c>
      <c r="N16" s="481" t="str" cm="1">
        <f t="array" ref="N16">IF(M16&lt;&gt;"",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16" s="481" t="str">
        <v/>
      </c>
      <c r="P16" s="482" t="str" cm="1">
        <f t="array" ref="P16">IF(Mapping_Assets_Interfaces!$A20="","",
_xlfn.TEXTJOIN(", "&amp;CHAR(10), TRUE, IF(Mapping_Assets_Interfaces!$C20:$AY20&lt;&gt;"",
IF(Mapping_Assets_Interfaces!C$3:AY$3="Network", Mapping_Assets_Interfaces!C$2:AY$2, ""), ""),""))</f>
        <v/>
      </c>
      <c r="Q16" s="488" t="str" cm="1">
        <f t="array" ref="Q16">IFERROR(IF(Mapping_Assets_Interfaces!$A20="","",
_xlfn.TEXTJOIN(", "&amp;CHAR(10), TRUE, _xlfn.UNIQUE(_xlfn.TEXTSPLIT(
_xlfn.TEXTJOIN(", "&amp;CHAR(10), TRUE, IF(Mapping_Assets_Interfaces!$C20:$AY20&lt;&gt;"",
IF(Mapping_Assets_Interfaces!C$3:AY$3="Network", TRANSPOSE(Interfaces[Media for this interface
Dropdown menu]), ""), ""),""),,", "&amp;CHAR(10))))), "")</f>
        <v/>
      </c>
    </row>
    <row r="17" spans="1:17" customFormat="1" x14ac:dyDescent="0.3">
      <c r="A17" s="549"/>
      <c r="B17" s="84"/>
      <c r="C17" s="51"/>
      <c r="D17" s="19"/>
      <c r="E17" s="19"/>
      <c r="F17" s="83" t="str">
        <f t="shared" si="1"/>
        <v/>
      </c>
      <c r="G17" s="83" t="str">
        <f t="shared" si="0"/>
        <v/>
      </c>
      <c r="H17" s="19"/>
      <c r="I17" s="19"/>
      <c r="J17" s="19"/>
      <c r="K17" s="547"/>
      <c r="M17" s="489" t="str">
        <v/>
      </c>
      <c r="N17" s="481" t="str" cm="1">
        <f t="array" ref="N17">IF(M17&lt;&gt;"",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17" s="481" t="str">
        <v/>
      </c>
      <c r="P17" s="482" t="str" cm="1">
        <f t="array" ref="P17">IF(Mapping_Assets_Interfaces!$A21="","",
_xlfn.TEXTJOIN(", "&amp;CHAR(10), TRUE, IF(Mapping_Assets_Interfaces!$C21:$AY21&lt;&gt;"",
IF(Mapping_Assets_Interfaces!C$3:AY$3="Network", Mapping_Assets_Interfaces!C$2:AY$2, ""), ""),""))</f>
        <v/>
      </c>
      <c r="Q17" s="488" t="str" cm="1">
        <f t="array" ref="Q17">IFERROR(IF(Mapping_Assets_Interfaces!$A21="","",
_xlfn.TEXTJOIN(", "&amp;CHAR(10), TRUE, _xlfn.UNIQUE(_xlfn.TEXTSPLIT(
_xlfn.TEXTJOIN(", "&amp;CHAR(10), TRUE, IF(Mapping_Assets_Interfaces!$C21:$AY21&lt;&gt;"",
IF(Mapping_Assets_Interfaces!C$3:AY$3="Network", TRANSPOSE(Interfaces[Media for this interface
Dropdown menu]), ""), ""),""),,", "&amp;CHAR(10))))), "")</f>
        <v/>
      </c>
    </row>
    <row r="18" spans="1:17" customFormat="1" x14ac:dyDescent="0.3">
      <c r="A18" s="546"/>
      <c r="B18" s="85"/>
      <c r="C18" s="51"/>
      <c r="D18" s="19"/>
      <c r="E18" s="19"/>
      <c r="F18" s="83" t="str">
        <f t="shared" si="1"/>
        <v/>
      </c>
      <c r="G18" s="83" t="str">
        <f t="shared" si="0"/>
        <v/>
      </c>
      <c r="H18" s="19"/>
      <c r="I18" s="19"/>
      <c r="J18" s="19"/>
      <c r="K18" s="547"/>
      <c r="M18" s="489" t="str">
        <v/>
      </c>
      <c r="N18" s="481" t="str" cm="1">
        <f t="array" ref="N18">IF(M18&lt;&gt;"",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18" s="481" t="str">
        <v/>
      </c>
      <c r="P18" s="482" t="str" cm="1">
        <f t="array" ref="P18">IF(Mapping_Assets_Interfaces!$A22="","",
_xlfn.TEXTJOIN(", "&amp;CHAR(10), TRUE, IF(Mapping_Assets_Interfaces!$C22:$AY22&lt;&gt;"",
IF(Mapping_Assets_Interfaces!C$3:AY$3="Network", Mapping_Assets_Interfaces!C$2:AY$2, ""), ""),""))</f>
        <v/>
      </c>
      <c r="Q18" s="488" t="str" cm="1">
        <f t="array" ref="Q18">IFERROR(IF(Mapping_Assets_Interfaces!$A22="","",
_xlfn.TEXTJOIN(", "&amp;CHAR(10), TRUE, _xlfn.UNIQUE(_xlfn.TEXTSPLIT(
_xlfn.TEXTJOIN(", "&amp;CHAR(10), TRUE, IF(Mapping_Assets_Interfaces!$C22:$AY22&lt;&gt;"",
IF(Mapping_Assets_Interfaces!C$3:AY$3="Network", TRANSPOSE(Interfaces[Media for this interface
Dropdown menu]), ""), ""),""),,", "&amp;CHAR(10))))), "")</f>
        <v/>
      </c>
    </row>
    <row r="19" spans="1:17" customFormat="1" x14ac:dyDescent="0.3">
      <c r="A19" s="546"/>
      <c r="B19" s="85"/>
      <c r="C19" s="51"/>
      <c r="D19" s="19"/>
      <c r="E19" s="19"/>
      <c r="F19" s="83" t="str">
        <f t="shared" si="1"/>
        <v/>
      </c>
      <c r="G19" s="83" t="str">
        <f t="shared" si="0"/>
        <v/>
      </c>
      <c r="H19" s="19"/>
      <c r="I19" s="19"/>
      <c r="J19" s="19"/>
      <c r="K19" s="547"/>
      <c r="M19" s="489" t="str">
        <v/>
      </c>
      <c r="N19" s="481" t="str" cm="1">
        <f t="array" ref="N19">IF(M19&lt;&gt;"",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19" s="481" t="str">
        <v/>
      </c>
      <c r="P19" s="482" t="str" cm="1">
        <f t="array" ref="P19">IF(Mapping_Assets_Interfaces!$A23="","",
_xlfn.TEXTJOIN(", "&amp;CHAR(10), TRUE, IF(Mapping_Assets_Interfaces!$C23:$AY23&lt;&gt;"",
IF(Mapping_Assets_Interfaces!C$3:AY$3="Network", Mapping_Assets_Interfaces!C$2:AY$2, ""), ""),""))</f>
        <v/>
      </c>
      <c r="Q19" s="488" t="str" cm="1">
        <f t="array" ref="Q19">IFERROR(IF(Mapping_Assets_Interfaces!$A23="","",
_xlfn.TEXTJOIN(", "&amp;CHAR(10), TRUE, _xlfn.UNIQUE(_xlfn.TEXTSPLIT(
_xlfn.TEXTJOIN(", "&amp;CHAR(10), TRUE, IF(Mapping_Assets_Interfaces!$C23:$AY23&lt;&gt;"",
IF(Mapping_Assets_Interfaces!C$3:AY$3="Network", TRANSPOSE(Interfaces[Media for this interface
Dropdown menu]), ""), ""),""),,", "&amp;CHAR(10))))), "")</f>
        <v/>
      </c>
    </row>
    <row r="20" spans="1:17" customFormat="1" x14ac:dyDescent="0.3">
      <c r="A20" s="548"/>
      <c r="B20" s="85"/>
      <c r="C20" s="51"/>
      <c r="D20" s="19"/>
      <c r="E20" s="19"/>
      <c r="F20" s="83" t="str">
        <f t="shared" si="1"/>
        <v/>
      </c>
      <c r="G20" s="83" t="str">
        <f t="shared" si="0"/>
        <v/>
      </c>
      <c r="H20" s="19"/>
      <c r="I20" s="19"/>
      <c r="J20" s="19"/>
      <c r="K20" s="547"/>
      <c r="M20" s="489" t="str">
        <v/>
      </c>
      <c r="N20" s="481" t="str" cm="1">
        <f t="array" ref="N20">IF(M20&lt;&gt;"",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20" s="481" t="str">
        <v/>
      </c>
      <c r="P20" s="482" t="str" cm="1">
        <f t="array" ref="P20">IF(Mapping_Assets_Interfaces!$A24="","",
_xlfn.TEXTJOIN(", "&amp;CHAR(10), TRUE, IF(Mapping_Assets_Interfaces!$C24:$AY24&lt;&gt;"",
IF(Mapping_Assets_Interfaces!C$3:AY$3="Network", Mapping_Assets_Interfaces!C$2:AY$2, ""), ""),""))</f>
        <v/>
      </c>
      <c r="Q20" s="488" t="str" cm="1">
        <f t="array" ref="Q20">IFERROR(IF(Mapping_Assets_Interfaces!$A24="","",
_xlfn.TEXTJOIN(", "&amp;CHAR(10), TRUE, _xlfn.UNIQUE(_xlfn.TEXTSPLIT(
_xlfn.TEXTJOIN(", "&amp;CHAR(10), TRUE, IF(Mapping_Assets_Interfaces!$C24:$AY24&lt;&gt;"",
IF(Mapping_Assets_Interfaces!C$3:AY$3="Network", TRANSPOSE(Interfaces[Media for this interface
Dropdown menu]), ""), ""),""),,", "&amp;CHAR(10))))), "")</f>
        <v/>
      </c>
    </row>
    <row r="21" spans="1:17" customFormat="1" x14ac:dyDescent="0.3">
      <c r="A21" s="548"/>
      <c r="B21" s="85"/>
      <c r="C21" s="51"/>
      <c r="D21" s="19"/>
      <c r="E21" s="19"/>
      <c r="F21" s="83" t="str">
        <f t="shared" si="1"/>
        <v/>
      </c>
      <c r="G21" s="83" t="str">
        <f t="shared" si="0"/>
        <v/>
      </c>
      <c r="H21" s="19"/>
      <c r="I21" s="19"/>
      <c r="J21" s="19"/>
      <c r="K21" s="547"/>
      <c r="M21" s="489" t="str">
        <v/>
      </c>
      <c r="N21" s="481" t="str" cm="1">
        <f t="array" ref="N21">IF(M21&lt;&gt;"",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21" s="481" t="str">
        <v/>
      </c>
      <c r="P21" s="482" t="str" cm="1">
        <f t="array" ref="P21">IF(Mapping_Assets_Interfaces!$A25="","",
_xlfn.TEXTJOIN(", "&amp;CHAR(10), TRUE, IF(Mapping_Assets_Interfaces!$C25:$AY25&lt;&gt;"",
IF(Mapping_Assets_Interfaces!C$3:AY$3="Network", Mapping_Assets_Interfaces!C$2:AY$2, ""), ""),""))</f>
        <v/>
      </c>
      <c r="Q21" s="488" t="str" cm="1">
        <f t="array" ref="Q21">IFERROR(IF(Mapping_Assets_Interfaces!$A25="","",
_xlfn.TEXTJOIN(", "&amp;CHAR(10), TRUE, _xlfn.UNIQUE(_xlfn.TEXTSPLIT(
_xlfn.TEXTJOIN(", "&amp;CHAR(10), TRUE, IF(Mapping_Assets_Interfaces!$C25:$AY25&lt;&gt;"",
IF(Mapping_Assets_Interfaces!C$3:AY$3="Network", TRANSPOSE(Interfaces[Media for this interface
Dropdown menu]), ""), ""),""),,", "&amp;CHAR(10))))), "")</f>
        <v/>
      </c>
    </row>
    <row r="22" spans="1:17" customFormat="1" x14ac:dyDescent="0.3">
      <c r="A22" s="549"/>
      <c r="B22" s="84"/>
      <c r="C22" s="51"/>
      <c r="D22" s="19"/>
      <c r="E22" s="19"/>
      <c r="F22" s="83" t="str">
        <f t="shared" si="1"/>
        <v/>
      </c>
      <c r="G22" s="83" t="str">
        <f t="shared" si="0"/>
        <v/>
      </c>
      <c r="H22" s="19"/>
      <c r="I22" s="19"/>
      <c r="J22" s="19"/>
      <c r="K22" s="547"/>
      <c r="M22" s="489" t="str">
        <v/>
      </c>
      <c r="N22" s="481" t="str" cm="1">
        <f t="array" ref="N22">IF(M22&lt;&gt;"",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22" s="481" t="str">
        <v/>
      </c>
      <c r="P22" s="482" t="str" cm="1">
        <f t="array" ref="P22">IF(Mapping_Assets_Interfaces!$A26="","",
_xlfn.TEXTJOIN(", "&amp;CHAR(10), TRUE, IF(Mapping_Assets_Interfaces!$C26:$AY26&lt;&gt;"",
IF(Mapping_Assets_Interfaces!C$3:AY$3="Network", Mapping_Assets_Interfaces!C$2:AY$2, ""), ""),""))</f>
        <v/>
      </c>
      <c r="Q22" s="488" t="str" cm="1">
        <f t="array" ref="Q22">IFERROR(IF(Mapping_Assets_Interfaces!$A26="","",
_xlfn.TEXTJOIN(", "&amp;CHAR(10), TRUE, _xlfn.UNIQUE(_xlfn.TEXTSPLIT(
_xlfn.TEXTJOIN(", "&amp;CHAR(10), TRUE, IF(Mapping_Assets_Interfaces!$C26:$AY26&lt;&gt;"",
IF(Mapping_Assets_Interfaces!C$3:AY$3="Network", TRANSPOSE(Interfaces[Media for this interface
Dropdown menu]), ""), ""),""),,", "&amp;CHAR(10))))), "")</f>
        <v/>
      </c>
    </row>
    <row r="23" spans="1:17" customFormat="1" x14ac:dyDescent="0.3">
      <c r="A23" s="546"/>
      <c r="B23" s="85"/>
      <c r="C23" s="51"/>
      <c r="D23" s="19"/>
      <c r="E23" s="19"/>
      <c r="F23" s="83" t="str">
        <f t="shared" si="1"/>
        <v/>
      </c>
      <c r="G23" s="83" t="str">
        <f t="shared" si="0"/>
        <v/>
      </c>
      <c r="H23" s="19"/>
      <c r="I23" s="19"/>
      <c r="J23" s="19"/>
      <c r="K23" s="547"/>
      <c r="M23" s="489" t="str">
        <v/>
      </c>
      <c r="N23" s="481" t="str" cm="1">
        <f t="array" ref="N23">IF(M23&lt;&gt;"",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23" s="481" t="str">
        <v/>
      </c>
      <c r="P23" s="482" t="str" cm="1">
        <f t="array" ref="P23">IF(Mapping_Assets_Interfaces!$A27="","",
_xlfn.TEXTJOIN(", "&amp;CHAR(10), TRUE, IF(Mapping_Assets_Interfaces!$C27:$AY27&lt;&gt;"",
IF(Mapping_Assets_Interfaces!C$3:AY$3="Network", Mapping_Assets_Interfaces!C$2:AY$2, ""), ""),""))</f>
        <v/>
      </c>
      <c r="Q23" s="488" t="str" cm="1">
        <f t="array" ref="Q23">IFERROR(IF(Mapping_Assets_Interfaces!$A27="","",
_xlfn.TEXTJOIN(", "&amp;CHAR(10), TRUE, _xlfn.UNIQUE(_xlfn.TEXTSPLIT(
_xlfn.TEXTJOIN(", "&amp;CHAR(10), TRUE, IF(Mapping_Assets_Interfaces!$C27:$AY27&lt;&gt;"",
IF(Mapping_Assets_Interfaces!C$3:AY$3="Network", TRANSPOSE(Interfaces[Media for this interface
Dropdown menu]), ""), ""),""),,", "&amp;CHAR(10))))), "")</f>
        <v/>
      </c>
    </row>
    <row r="24" spans="1:17" customFormat="1" x14ac:dyDescent="0.3">
      <c r="A24" s="546"/>
      <c r="B24" s="85"/>
      <c r="C24" s="51"/>
      <c r="D24" s="19"/>
      <c r="E24" s="19"/>
      <c r="F24" s="83" t="str">
        <f t="shared" si="1"/>
        <v/>
      </c>
      <c r="G24" s="83" t="str">
        <f t="shared" si="0"/>
        <v/>
      </c>
      <c r="H24" s="19"/>
      <c r="I24" s="19"/>
      <c r="J24" s="19"/>
      <c r="K24" s="547"/>
      <c r="M24" s="489" t="str">
        <v/>
      </c>
      <c r="N24" s="481" t="str" cm="1">
        <f t="array" ref="N24">IF(M24&lt;&gt;"",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24" s="481" t="str">
        <v/>
      </c>
      <c r="P24" s="482" t="str" cm="1">
        <f t="array" ref="P24">IF(Mapping_Assets_Interfaces!$A28="","",
_xlfn.TEXTJOIN(", "&amp;CHAR(10), TRUE, IF(Mapping_Assets_Interfaces!$C28:$AY28&lt;&gt;"",
IF(Mapping_Assets_Interfaces!C$3:AY$3="Network", Mapping_Assets_Interfaces!C$2:AY$2, ""), ""),""))</f>
        <v/>
      </c>
      <c r="Q24" s="488" t="str" cm="1">
        <f t="array" ref="Q24">IFERROR(IF(Mapping_Assets_Interfaces!$A28="","",
_xlfn.TEXTJOIN(", "&amp;CHAR(10), TRUE, _xlfn.UNIQUE(_xlfn.TEXTSPLIT(
_xlfn.TEXTJOIN(", "&amp;CHAR(10), TRUE, IF(Mapping_Assets_Interfaces!$C28:$AY28&lt;&gt;"",
IF(Mapping_Assets_Interfaces!C$3:AY$3="Network", TRANSPOSE(Interfaces[Media for this interface
Dropdown menu]), ""), ""),""),,", "&amp;CHAR(10))))), "")</f>
        <v/>
      </c>
    </row>
    <row r="25" spans="1:17" customFormat="1" x14ac:dyDescent="0.3">
      <c r="A25" s="548"/>
      <c r="B25" s="85"/>
      <c r="C25" s="51"/>
      <c r="D25" s="19"/>
      <c r="E25" s="19"/>
      <c r="F25" s="83" t="str">
        <f t="shared" si="1"/>
        <v/>
      </c>
      <c r="G25" s="83" t="str">
        <f t="shared" si="0"/>
        <v/>
      </c>
      <c r="H25" s="19"/>
      <c r="I25" s="19"/>
      <c r="J25" s="19"/>
      <c r="K25" s="547"/>
      <c r="M25" s="489" t="str">
        <v/>
      </c>
      <c r="N25" s="481" t="str" cm="1">
        <f t="array" ref="N25">IF(M25&lt;&gt;"",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25" s="481" t="str">
        <v/>
      </c>
      <c r="P25" s="482" t="str" cm="1">
        <f t="array" ref="P25">IF(Mapping_Assets_Interfaces!$A29="","",
_xlfn.TEXTJOIN(", "&amp;CHAR(10), TRUE, IF(Mapping_Assets_Interfaces!$C29:$AY29&lt;&gt;"",
IF(Mapping_Assets_Interfaces!C$3:AY$3="Network", Mapping_Assets_Interfaces!C$2:AY$2, ""), ""),""))</f>
        <v/>
      </c>
      <c r="Q25" s="488" t="str" cm="1">
        <f t="array" ref="Q25">IFERROR(IF(Mapping_Assets_Interfaces!$A29="","",
_xlfn.TEXTJOIN(", "&amp;CHAR(10), TRUE, _xlfn.UNIQUE(_xlfn.TEXTSPLIT(
_xlfn.TEXTJOIN(", "&amp;CHAR(10), TRUE, IF(Mapping_Assets_Interfaces!$C29:$AY29&lt;&gt;"",
IF(Mapping_Assets_Interfaces!C$3:AY$3="Network", TRANSPOSE(Interfaces[Media for this interface
Dropdown menu]), ""), ""),""),,", "&amp;CHAR(10))))), "")</f>
        <v/>
      </c>
    </row>
    <row r="26" spans="1:17" customFormat="1" x14ac:dyDescent="0.3">
      <c r="A26" s="548"/>
      <c r="B26" s="85"/>
      <c r="C26" s="51"/>
      <c r="D26" s="19"/>
      <c r="E26" s="19"/>
      <c r="F26" s="83" t="str">
        <f t="shared" si="1"/>
        <v/>
      </c>
      <c r="G26" s="83" t="str">
        <f t="shared" si="0"/>
        <v/>
      </c>
      <c r="H26" s="19"/>
      <c r="I26" s="19"/>
      <c r="J26" s="19"/>
      <c r="K26" s="547"/>
      <c r="M26" s="489" t="str">
        <v/>
      </c>
      <c r="N26" s="481" t="str" cm="1">
        <f t="array" ref="N26">IF(M26&lt;&gt;"",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26" s="481" t="str">
        <v/>
      </c>
      <c r="P26" s="482" t="str" cm="1">
        <f t="array" ref="P26">IF(Mapping_Assets_Interfaces!$A30="","",
_xlfn.TEXTJOIN(", "&amp;CHAR(10), TRUE, IF(Mapping_Assets_Interfaces!$C30:$AY30&lt;&gt;"",
IF(Mapping_Assets_Interfaces!C$3:AY$3="Network", Mapping_Assets_Interfaces!C$2:AY$2, ""), ""),""))</f>
        <v/>
      </c>
      <c r="Q26" s="488" t="str" cm="1">
        <f t="array" ref="Q26">IFERROR(IF(Mapping_Assets_Interfaces!$A30="","",
_xlfn.TEXTJOIN(", "&amp;CHAR(10), TRUE, _xlfn.UNIQUE(_xlfn.TEXTSPLIT(
_xlfn.TEXTJOIN(", "&amp;CHAR(10), TRUE, IF(Mapping_Assets_Interfaces!$C30:$AY30&lt;&gt;"",
IF(Mapping_Assets_Interfaces!C$3:AY$3="Network", TRANSPOSE(Interfaces[Media for this interface
Dropdown menu]), ""), ""),""),,", "&amp;CHAR(10))))), "")</f>
        <v/>
      </c>
    </row>
    <row r="27" spans="1:17" customFormat="1" x14ac:dyDescent="0.3">
      <c r="A27" s="549"/>
      <c r="B27" s="84"/>
      <c r="C27" s="51"/>
      <c r="D27" s="19"/>
      <c r="E27" s="19"/>
      <c r="F27" s="83" t="str">
        <f t="shared" si="1"/>
        <v/>
      </c>
      <c r="G27" s="83" t="str">
        <f t="shared" si="0"/>
        <v/>
      </c>
      <c r="H27" s="19"/>
      <c r="I27" s="19"/>
      <c r="J27" s="19"/>
      <c r="K27" s="547"/>
      <c r="M27" s="489" t="str">
        <v/>
      </c>
      <c r="N27" s="481" t="str" cm="1">
        <f t="array" ref="N27">IF(M27&lt;&gt;"",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27" s="481" t="str">
        <v/>
      </c>
      <c r="P27" s="482" t="str" cm="1">
        <f t="array" ref="P27">IF(Mapping_Assets_Interfaces!$A31="","",
_xlfn.TEXTJOIN(", "&amp;CHAR(10), TRUE, IF(Mapping_Assets_Interfaces!$C31:$AY31&lt;&gt;"",
IF(Mapping_Assets_Interfaces!C$3:AY$3="Network", Mapping_Assets_Interfaces!C$2:AY$2, ""), ""),""))</f>
        <v/>
      </c>
      <c r="Q27" s="488" t="str" cm="1">
        <f t="array" ref="Q27">IFERROR(IF(Mapping_Assets_Interfaces!$A31="","",
_xlfn.TEXTJOIN(", "&amp;CHAR(10), TRUE, _xlfn.UNIQUE(_xlfn.TEXTSPLIT(
_xlfn.TEXTJOIN(", "&amp;CHAR(10), TRUE, IF(Mapping_Assets_Interfaces!$C31:$AY31&lt;&gt;"",
IF(Mapping_Assets_Interfaces!C$3:AY$3="Network", TRANSPOSE(Interfaces[Media for this interface
Dropdown menu]), ""), ""),""),,", "&amp;CHAR(10))))), "")</f>
        <v/>
      </c>
    </row>
    <row r="28" spans="1:17" customFormat="1" x14ac:dyDescent="0.3">
      <c r="A28" s="546"/>
      <c r="B28" s="85"/>
      <c r="C28" s="51"/>
      <c r="D28" s="19"/>
      <c r="E28" s="19"/>
      <c r="F28" s="83" t="str">
        <f t="shared" si="1"/>
        <v/>
      </c>
      <c r="G28" s="83" t="str">
        <f t="shared" si="0"/>
        <v/>
      </c>
      <c r="H28" s="19"/>
      <c r="I28" s="19"/>
      <c r="J28" s="19"/>
      <c r="K28" s="547"/>
      <c r="M28" s="489" t="str">
        <v/>
      </c>
      <c r="N28" s="481" t="str" cm="1">
        <f t="array" ref="N28">IF(M28&lt;&gt;"",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28" s="481" t="str">
        <v/>
      </c>
      <c r="P28" s="482" t="str" cm="1">
        <f t="array" ref="P28">IF(Mapping_Assets_Interfaces!$A32="","",
_xlfn.TEXTJOIN(", "&amp;CHAR(10), TRUE, IF(Mapping_Assets_Interfaces!$C32:$AY32&lt;&gt;"",
IF(Mapping_Assets_Interfaces!C$3:AY$3="Network", Mapping_Assets_Interfaces!C$2:AY$2, ""), ""),""))</f>
        <v/>
      </c>
      <c r="Q28" s="488" t="str" cm="1">
        <f t="array" ref="Q28">IFERROR(IF(Mapping_Assets_Interfaces!$A32="","",
_xlfn.TEXTJOIN(", "&amp;CHAR(10), TRUE, _xlfn.UNIQUE(_xlfn.TEXTSPLIT(
_xlfn.TEXTJOIN(", "&amp;CHAR(10), TRUE, IF(Mapping_Assets_Interfaces!$C32:$AY32&lt;&gt;"",
IF(Mapping_Assets_Interfaces!C$3:AY$3="Network", TRANSPOSE(Interfaces[Media for this interface
Dropdown menu]), ""), ""),""),,", "&amp;CHAR(10))))), "")</f>
        <v/>
      </c>
    </row>
    <row r="29" spans="1:17" customFormat="1" x14ac:dyDescent="0.3">
      <c r="A29" s="546"/>
      <c r="B29" s="85"/>
      <c r="C29" s="51"/>
      <c r="D29" s="19"/>
      <c r="E29" s="19"/>
      <c r="F29" s="83" t="str">
        <f t="shared" si="1"/>
        <v/>
      </c>
      <c r="G29" s="83" t="str">
        <f t="shared" si="0"/>
        <v/>
      </c>
      <c r="H29" s="19"/>
      <c r="I29" s="19"/>
      <c r="J29" s="19"/>
      <c r="K29" s="547"/>
      <c r="M29" s="489" t="str">
        <v/>
      </c>
      <c r="N29" s="481" t="str" cm="1">
        <f t="array" ref="N29">IF(M29&lt;&gt;"",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29" s="481" t="str">
        <v/>
      </c>
      <c r="P29" s="482" t="str" cm="1">
        <f t="array" ref="P29">IF(Mapping_Assets_Interfaces!$A33="","",
_xlfn.TEXTJOIN(", "&amp;CHAR(10), TRUE, IF(Mapping_Assets_Interfaces!$C33:$AY33&lt;&gt;"",
IF(Mapping_Assets_Interfaces!C$3:AY$3="Network", Mapping_Assets_Interfaces!C$2:AY$2, ""), ""),""))</f>
        <v/>
      </c>
      <c r="Q29" s="488" t="str" cm="1">
        <f t="array" ref="Q29">IFERROR(IF(Mapping_Assets_Interfaces!$A33="","",
_xlfn.TEXTJOIN(", "&amp;CHAR(10), TRUE, _xlfn.UNIQUE(_xlfn.TEXTSPLIT(
_xlfn.TEXTJOIN(", "&amp;CHAR(10), TRUE, IF(Mapping_Assets_Interfaces!$C33:$AY33&lt;&gt;"",
IF(Mapping_Assets_Interfaces!C$3:AY$3="Network", TRANSPOSE(Interfaces[Media for this interface
Dropdown menu]), ""), ""),""),,", "&amp;CHAR(10))))), "")</f>
        <v/>
      </c>
    </row>
    <row r="30" spans="1:17" customFormat="1" x14ac:dyDescent="0.3">
      <c r="A30" s="548"/>
      <c r="B30" s="85"/>
      <c r="C30" s="51"/>
      <c r="D30" s="19"/>
      <c r="E30" s="19"/>
      <c r="F30" s="83" t="str">
        <f t="shared" si="1"/>
        <v/>
      </c>
      <c r="G30" s="83" t="str">
        <f t="shared" si="0"/>
        <v/>
      </c>
      <c r="H30" s="19"/>
      <c r="I30" s="19"/>
      <c r="J30" s="19"/>
      <c r="K30" s="547"/>
      <c r="M30" s="489" t="str">
        <v/>
      </c>
      <c r="N30" s="481" t="str" cm="1">
        <f t="array" ref="N30">IF(M30&lt;&gt;"",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30" s="481" t="str">
        <v/>
      </c>
      <c r="P30" s="482" t="str" cm="1">
        <f t="array" ref="P30">IF(Mapping_Assets_Interfaces!$A34="","",
_xlfn.TEXTJOIN(", "&amp;CHAR(10), TRUE, IF(Mapping_Assets_Interfaces!$C34:$AY34&lt;&gt;"",
IF(Mapping_Assets_Interfaces!C$3:AY$3="Network", Mapping_Assets_Interfaces!C$2:AY$2, ""), ""),""))</f>
        <v/>
      </c>
      <c r="Q30" s="488" t="str" cm="1">
        <f t="array" ref="Q30">IFERROR(IF(Mapping_Assets_Interfaces!$A34="","",
_xlfn.TEXTJOIN(", "&amp;CHAR(10), TRUE, _xlfn.UNIQUE(_xlfn.TEXTSPLIT(
_xlfn.TEXTJOIN(", "&amp;CHAR(10), TRUE, IF(Mapping_Assets_Interfaces!$C34:$AY34&lt;&gt;"",
IF(Mapping_Assets_Interfaces!C$3:AY$3="Network", TRANSPOSE(Interfaces[Media for this interface
Dropdown menu]), ""), ""),""),,", "&amp;CHAR(10))))), "")</f>
        <v/>
      </c>
    </row>
    <row r="31" spans="1:17" customFormat="1" x14ac:dyDescent="0.3">
      <c r="A31" s="548"/>
      <c r="B31" s="85"/>
      <c r="C31" s="51"/>
      <c r="D31" s="19"/>
      <c r="E31" s="19"/>
      <c r="F31" s="83" t="str">
        <f t="shared" si="1"/>
        <v/>
      </c>
      <c r="G31" s="83" t="str">
        <f t="shared" si="0"/>
        <v/>
      </c>
      <c r="H31" s="19"/>
      <c r="I31" s="19"/>
      <c r="J31" s="19"/>
      <c r="K31" s="547"/>
      <c r="M31" s="489" t="str">
        <v/>
      </c>
      <c r="N31" s="481" t="str" cm="1">
        <f t="array" ref="N31">IF(M31&lt;&gt;"",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31" s="481" t="str">
        <v/>
      </c>
      <c r="P31" s="482" t="str" cm="1">
        <f t="array" ref="P31">IF(Mapping_Assets_Interfaces!$A35="","",
_xlfn.TEXTJOIN(", "&amp;CHAR(10), TRUE, IF(Mapping_Assets_Interfaces!$C35:$AY35&lt;&gt;"",
IF(Mapping_Assets_Interfaces!C$3:AY$3="Network", Mapping_Assets_Interfaces!C$2:AY$2, ""), ""),""))</f>
        <v/>
      </c>
      <c r="Q31" s="488" t="str" cm="1">
        <f t="array" ref="Q31">IFERROR(IF(Mapping_Assets_Interfaces!$A35="","",
_xlfn.TEXTJOIN(", "&amp;CHAR(10), TRUE, _xlfn.UNIQUE(_xlfn.TEXTSPLIT(
_xlfn.TEXTJOIN(", "&amp;CHAR(10), TRUE, IF(Mapping_Assets_Interfaces!$C35:$AY35&lt;&gt;"",
IF(Mapping_Assets_Interfaces!C$3:AY$3="Network", TRANSPOSE(Interfaces[Media for this interface
Dropdown menu]), ""), ""),""),,", "&amp;CHAR(10))))), "")</f>
        <v/>
      </c>
    </row>
    <row r="32" spans="1:17" customFormat="1" x14ac:dyDescent="0.3">
      <c r="A32" s="549"/>
      <c r="B32" s="84"/>
      <c r="C32" s="51"/>
      <c r="D32" s="19"/>
      <c r="E32" s="19"/>
      <c r="F32" s="83" t="str">
        <f t="shared" si="1"/>
        <v/>
      </c>
      <c r="G32" s="83" t="str">
        <f t="shared" si="0"/>
        <v/>
      </c>
      <c r="H32" s="19"/>
      <c r="I32" s="19"/>
      <c r="J32" s="19"/>
      <c r="K32" s="547"/>
      <c r="M32" s="489" t="str">
        <v/>
      </c>
      <c r="N32" s="481" t="str" cm="1">
        <f t="array" ref="N32">IF(M32&lt;&gt;"",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32" s="481" t="str">
        <v/>
      </c>
      <c r="P32" s="482" t="str" cm="1">
        <f t="array" ref="P32">IF(Mapping_Assets_Interfaces!$A36="","",
_xlfn.TEXTJOIN(", "&amp;CHAR(10), TRUE, IF(Mapping_Assets_Interfaces!$C36:$AY36&lt;&gt;"",
IF(Mapping_Assets_Interfaces!C$3:AY$3="Network", Mapping_Assets_Interfaces!C$2:AY$2, ""), ""),""))</f>
        <v/>
      </c>
      <c r="Q32" s="488" t="str" cm="1">
        <f t="array" ref="Q32">IFERROR(IF(Mapping_Assets_Interfaces!$A36="","",
_xlfn.TEXTJOIN(", "&amp;CHAR(10), TRUE, _xlfn.UNIQUE(_xlfn.TEXTSPLIT(
_xlfn.TEXTJOIN(", "&amp;CHAR(10), TRUE, IF(Mapping_Assets_Interfaces!$C36:$AY36&lt;&gt;"",
IF(Mapping_Assets_Interfaces!C$3:AY$3="Network", TRANSPOSE(Interfaces[Media for this interface
Dropdown menu]), ""), ""),""),,", "&amp;CHAR(10))))), "")</f>
        <v/>
      </c>
    </row>
    <row r="33" spans="1:17" customFormat="1" x14ac:dyDescent="0.3">
      <c r="A33" s="546"/>
      <c r="B33" s="85"/>
      <c r="C33" s="51"/>
      <c r="D33" s="19"/>
      <c r="E33" s="19"/>
      <c r="F33" s="83" t="str">
        <f t="shared" si="1"/>
        <v/>
      </c>
      <c r="G33" s="83" t="str">
        <f t="shared" si="0"/>
        <v/>
      </c>
      <c r="H33" s="19"/>
      <c r="I33" s="19"/>
      <c r="J33" s="19"/>
      <c r="K33" s="547"/>
      <c r="M33" s="489" t="str">
        <v/>
      </c>
      <c r="N33" s="481" t="str" cm="1">
        <f t="array" ref="N33">IF(M33&lt;&gt;"",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33" s="481" t="str">
        <v/>
      </c>
      <c r="P33" s="482" t="str" cm="1">
        <f t="array" ref="P33">IF(Mapping_Assets_Interfaces!$A37="","",
_xlfn.TEXTJOIN(", "&amp;CHAR(10), TRUE, IF(Mapping_Assets_Interfaces!$C37:$AY37&lt;&gt;"",
IF(Mapping_Assets_Interfaces!C$3:AY$3="Network", Mapping_Assets_Interfaces!C$2:AY$2, ""), ""),""))</f>
        <v/>
      </c>
      <c r="Q33" s="488" t="str" cm="1">
        <f t="array" ref="Q33">IFERROR(IF(Mapping_Assets_Interfaces!$A37="","",
_xlfn.TEXTJOIN(", "&amp;CHAR(10), TRUE, _xlfn.UNIQUE(_xlfn.TEXTSPLIT(
_xlfn.TEXTJOIN(", "&amp;CHAR(10), TRUE, IF(Mapping_Assets_Interfaces!$C37:$AY37&lt;&gt;"",
IF(Mapping_Assets_Interfaces!C$3:AY$3="Network", TRANSPOSE(Interfaces[Media for this interface
Dropdown menu]), ""), ""),""),,", "&amp;CHAR(10))))), "")</f>
        <v/>
      </c>
    </row>
    <row r="34" spans="1:17" customFormat="1" x14ac:dyDescent="0.3">
      <c r="A34" s="546"/>
      <c r="B34" s="85"/>
      <c r="C34" s="51"/>
      <c r="D34" s="19"/>
      <c r="E34" s="19"/>
      <c r="F34" s="83" t="str">
        <f t="shared" si="1"/>
        <v/>
      </c>
      <c r="G34" s="83" t="str">
        <f t="shared" si="0"/>
        <v/>
      </c>
      <c r="H34" s="19"/>
      <c r="I34" s="19"/>
      <c r="J34" s="19"/>
      <c r="K34" s="547"/>
      <c r="M34" s="489" t="str">
        <v/>
      </c>
      <c r="N34" s="481" t="str" cm="1">
        <f t="array" ref="N34">IF(M34&lt;&gt;"",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34" s="481" t="str">
        <v/>
      </c>
      <c r="P34" s="482" t="str" cm="1">
        <f t="array" ref="P34">IF(Mapping_Assets_Interfaces!$A38="","",
_xlfn.TEXTJOIN(", "&amp;CHAR(10), TRUE, IF(Mapping_Assets_Interfaces!$C38:$AY38&lt;&gt;"",
IF(Mapping_Assets_Interfaces!C$3:AY$3="Network", Mapping_Assets_Interfaces!C$2:AY$2, ""), ""),""))</f>
        <v/>
      </c>
      <c r="Q34" s="488" t="str" cm="1">
        <f t="array" ref="Q34">IFERROR(IF(Mapping_Assets_Interfaces!$A38="","",
_xlfn.TEXTJOIN(", "&amp;CHAR(10), TRUE, _xlfn.UNIQUE(_xlfn.TEXTSPLIT(
_xlfn.TEXTJOIN(", "&amp;CHAR(10), TRUE, IF(Mapping_Assets_Interfaces!$C38:$AY38&lt;&gt;"",
IF(Mapping_Assets_Interfaces!C$3:AY$3="Network", TRANSPOSE(Interfaces[Media for this interface
Dropdown menu]), ""), ""),""),,", "&amp;CHAR(10))))), "")</f>
        <v/>
      </c>
    </row>
    <row r="35" spans="1:17" customFormat="1" x14ac:dyDescent="0.3">
      <c r="A35" s="548"/>
      <c r="B35" s="85"/>
      <c r="C35" s="51"/>
      <c r="D35" s="19"/>
      <c r="E35" s="19"/>
      <c r="F35" s="83" t="str">
        <f t="shared" si="1"/>
        <v/>
      </c>
      <c r="G35" s="83" t="str">
        <f t="shared" si="0"/>
        <v/>
      </c>
      <c r="H35" s="19"/>
      <c r="I35" s="19"/>
      <c r="J35" s="19"/>
      <c r="K35" s="547"/>
      <c r="M35" s="489" t="str">
        <v/>
      </c>
      <c r="N35" s="481" t="str" cm="1">
        <f t="array" ref="N35">IF(M35&lt;&gt;"",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35" s="481" t="str">
        <v/>
      </c>
      <c r="P35" s="482" t="str" cm="1">
        <f t="array" ref="P35">IF(Mapping_Assets_Interfaces!$A39="","",
_xlfn.TEXTJOIN(", "&amp;CHAR(10), TRUE, IF(Mapping_Assets_Interfaces!$C39:$AY39&lt;&gt;"",
IF(Mapping_Assets_Interfaces!C$3:AY$3="Network", Mapping_Assets_Interfaces!C$2:AY$2, ""), ""),""))</f>
        <v/>
      </c>
      <c r="Q35" s="488" t="str" cm="1">
        <f t="array" ref="Q35">IFERROR(IF(Mapping_Assets_Interfaces!$A39="","",
_xlfn.TEXTJOIN(", "&amp;CHAR(10), TRUE, _xlfn.UNIQUE(_xlfn.TEXTSPLIT(
_xlfn.TEXTJOIN(", "&amp;CHAR(10), TRUE, IF(Mapping_Assets_Interfaces!$C39:$AY39&lt;&gt;"",
IF(Mapping_Assets_Interfaces!C$3:AY$3="Network", TRANSPOSE(Interfaces[Media for this interface
Dropdown menu]), ""), ""),""),,", "&amp;CHAR(10))))), "")</f>
        <v/>
      </c>
    </row>
    <row r="36" spans="1:17" customFormat="1" x14ac:dyDescent="0.3">
      <c r="A36" s="548"/>
      <c r="B36" s="85"/>
      <c r="C36" s="51"/>
      <c r="D36" s="19"/>
      <c r="E36" s="19"/>
      <c r="F36" s="83" t="str">
        <f t="shared" si="1"/>
        <v/>
      </c>
      <c r="G36" s="83" t="str">
        <f t="shared" si="0"/>
        <v/>
      </c>
      <c r="H36" s="19"/>
      <c r="I36" s="19"/>
      <c r="J36" s="19"/>
      <c r="K36" s="547"/>
      <c r="M36" s="489" t="str">
        <v/>
      </c>
      <c r="N36" s="481" t="str" cm="1">
        <f t="array" ref="N36">IF(M36&lt;&gt;"",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36" s="481" t="str">
        <v/>
      </c>
      <c r="P36" s="482" t="str" cm="1">
        <f t="array" ref="P36">IF(Mapping_Assets_Interfaces!$A40="","",
_xlfn.TEXTJOIN(", "&amp;CHAR(10), TRUE, IF(Mapping_Assets_Interfaces!$C40:$AY40&lt;&gt;"",
IF(Mapping_Assets_Interfaces!C$3:AY$3="Network", Mapping_Assets_Interfaces!C$2:AY$2, ""), ""),""))</f>
        <v/>
      </c>
      <c r="Q36" s="488" t="str" cm="1">
        <f t="array" ref="Q36">IFERROR(IF(Mapping_Assets_Interfaces!$A40="","",
_xlfn.TEXTJOIN(", "&amp;CHAR(10), TRUE, _xlfn.UNIQUE(_xlfn.TEXTSPLIT(
_xlfn.TEXTJOIN(", "&amp;CHAR(10), TRUE, IF(Mapping_Assets_Interfaces!$C40:$AY40&lt;&gt;"",
IF(Mapping_Assets_Interfaces!C$3:AY$3="Network", TRANSPOSE(Interfaces[Media for this interface
Dropdown menu]), ""), ""),""),,", "&amp;CHAR(10))))), "")</f>
        <v/>
      </c>
    </row>
    <row r="37" spans="1:17" customFormat="1" x14ac:dyDescent="0.3">
      <c r="A37" s="549"/>
      <c r="B37" s="84"/>
      <c r="C37" s="51"/>
      <c r="D37" s="19"/>
      <c r="E37" s="19"/>
      <c r="F37" s="83" t="str">
        <f t="shared" si="1"/>
        <v/>
      </c>
      <c r="G37" s="83" t="str">
        <f t="shared" si="0"/>
        <v/>
      </c>
      <c r="H37" s="19"/>
      <c r="I37" s="19"/>
      <c r="J37" s="19"/>
      <c r="K37" s="547"/>
      <c r="M37" s="489" t="str">
        <v/>
      </c>
      <c r="N37" s="481" t="str" cm="1">
        <f t="array" ref="N37">IF(M37&lt;&gt;"",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37" s="481" t="str">
        <v/>
      </c>
      <c r="P37" s="482" t="str" cm="1">
        <f t="array" ref="P37">IF(Mapping_Assets_Interfaces!$A41="","",
_xlfn.TEXTJOIN(", "&amp;CHAR(10), TRUE, IF(Mapping_Assets_Interfaces!$C41:$AY41&lt;&gt;"",
IF(Mapping_Assets_Interfaces!C$3:AY$3="Network", Mapping_Assets_Interfaces!C$2:AY$2, ""), ""),""))</f>
        <v/>
      </c>
      <c r="Q37" s="488" t="str" cm="1">
        <f t="array" ref="Q37">IFERROR(IF(Mapping_Assets_Interfaces!$A41="","",
_xlfn.TEXTJOIN(", "&amp;CHAR(10), TRUE, _xlfn.UNIQUE(_xlfn.TEXTSPLIT(
_xlfn.TEXTJOIN(", "&amp;CHAR(10), TRUE, IF(Mapping_Assets_Interfaces!$C41:$AY41&lt;&gt;"",
IF(Mapping_Assets_Interfaces!C$3:AY$3="Network", TRANSPOSE(Interfaces[Media for this interface
Dropdown menu]), ""), ""),""),,", "&amp;CHAR(10))))), "")</f>
        <v/>
      </c>
    </row>
    <row r="38" spans="1:17" customFormat="1" x14ac:dyDescent="0.3">
      <c r="A38" s="546"/>
      <c r="B38" s="85"/>
      <c r="C38" s="51"/>
      <c r="D38" s="19"/>
      <c r="E38" s="19"/>
      <c r="F38" s="83" t="str">
        <f t="shared" si="1"/>
        <v/>
      </c>
      <c r="G38" s="83" t="str">
        <f t="shared" si="0"/>
        <v/>
      </c>
      <c r="H38" s="19"/>
      <c r="I38" s="19"/>
      <c r="J38" s="19"/>
      <c r="K38" s="547"/>
      <c r="M38" s="489" t="str">
        <v/>
      </c>
      <c r="N38" s="481" t="str" cm="1">
        <f t="array" ref="N38">IF(M38&lt;&gt;"",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38" s="481" t="str">
        <v/>
      </c>
      <c r="P38" s="482" t="str" cm="1">
        <f t="array" ref="P38">IF(Mapping_Assets_Interfaces!$A42="","",
_xlfn.TEXTJOIN(", "&amp;CHAR(10), TRUE, IF(Mapping_Assets_Interfaces!$C42:$AY42&lt;&gt;"",
IF(Mapping_Assets_Interfaces!C$3:AY$3="Network", Mapping_Assets_Interfaces!C$2:AY$2, ""), ""),""))</f>
        <v/>
      </c>
      <c r="Q38" s="488" t="str" cm="1">
        <f t="array" ref="Q38">IFERROR(IF(Mapping_Assets_Interfaces!$A42="","",
_xlfn.TEXTJOIN(", "&amp;CHAR(10), TRUE, _xlfn.UNIQUE(_xlfn.TEXTSPLIT(
_xlfn.TEXTJOIN(", "&amp;CHAR(10), TRUE, IF(Mapping_Assets_Interfaces!$C42:$AY42&lt;&gt;"",
IF(Mapping_Assets_Interfaces!C$3:AY$3="Network", TRANSPOSE(Interfaces[Media for this interface
Dropdown menu]), ""), ""),""),,", "&amp;CHAR(10))))), "")</f>
        <v/>
      </c>
    </row>
    <row r="39" spans="1:17" customFormat="1" x14ac:dyDescent="0.3">
      <c r="A39" s="546"/>
      <c r="B39" s="85"/>
      <c r="C39" s="51"/>
      <c r="D39" s="19"/>
      <c r="E39" s="19"/>
      <c r="F39" s="83" t="str">
        <f t="shared" si="1"/>
        <v/>
      </c>
      <c r="G39" s="83" t="str">
        <f t="shared" si="0"/>
        <v/>
      </c>
      <c r="H39" s="19"/>
      <c r="I39" s="19"/>
      <c r="J39" s="19"/>
      <c r="K39" s="547"/>
      <c r="M39" s="489" t="str">
        <v/>
      </c>
      <c r="N39" s="481" t="str" cm="1">
        <f t="array" ref="N39">IF(M39&lt;&gt;"",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39" s="481" t="str">
        <v/>
      </c>
      <c r="P39" s="482" t="str" cm="1">
        <f t="array" ref="P39">IF(Mapping_Assets_Interfaces!$A43="","",
_xlfn.TEXTJOIN(", "&amp;CHAR(10), TRUE, IF(Mapping_Assets_Interfaces!$C43:$AY43&lt;&gt;"",
IF(Mapping_Assets_Interfaces!C$3:AY$3="Network", Mapping_Assets_Interfaces!C$2:AY$2, ""), ""),""))</f>
        <v/>
      </c>
      <c r="Q39" s="488" t="str" cm="1">
        <f t="array" ref="Q39">IFERROR(IF(Mapping_Assets_Interfaces!$A43="","",
_xlfn.TEXTJOIN(", "&amp;CHAR(10), TRUE, _xlfn.UNIQUE(_xlfn.TEXTSPLIT(
_xlfn.TEXTJOIN(", "&amp;CHAR(10), TRUE, IF(Mapping_Assets_Interfaces!$C43:$AY43&lt;&gt;"",
IF(Mapping_Assets_Interfaces!C$3:AY$3="Network", TRANSPOSE(Interfaces[Media for this interface
Dropdown menu]), ""), ""),""),,", "&amp;CHAR(10))))), "")</f>
        <v/>
      </c>
    </row>
    <row r="40" spans="1:17" customFormat="1" x14ac:dyDescent="0.3">
      <c r="A40" s="548"/>
      <c r="B40" s="85"/>
      <c r="C40" s="51"/>
      <c r="D40" s="19"/>
      <c r="E40" s="19"/>
      <c r="F40" s="83" t="str">
        <f t="shared" si="1"/>
        <v/>
      </c>
      <c r="G40" s="83" t="str">
        <f t="shared" si="0"/>
        <v/>
      </c>
      <c r="H40" s="19"/>
      <c r="I40" s="19"/>
      <c r="J40" s="19"/>
      <c r="K40" s="547"/>
      <c r="M40" s="489" t="str">
        <v/>
      </c>
      <c r="N40" s="481" t="str" cm="1">
        <f t="array" ref="N40">IF(M40&lt;&gt;"",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40" s="481" t="str">
        <v/>
      </c>
      <c r="P40" s="482" t="str" cm="1">
        <f t="array" ref="P40">IF(Mapping_Assets_Interfaces!$A44="","",
_xlfn.TEXTJOIN(", "&amp;CHAR(10), TRUE, IF(Mapping_Assets_Interfaces!$C44:$AY44&lt;&gt;"",
IF(Mapping_Assets_Interfaces!C$3:AY$3="Network", Mapping_Assets_Interfaces!C$2:AY$2, ""), ""),""))</f>
        <v/>
      </c>
      <c r="Q40" s="488" t="str" cm="1">
        <f t="array" ref="Q40">IFERROR(IF(Mapping_Assets_Interfaces!$A44="","",
_xlfn.TEXTJOIN(", "&amp;CHAR(10), TRUE, _xlfn.UNIQUE(_xlfn.TEXTSPLIT(
_xlfn.TEXTJOIN(", "&amp;CHAR(10), TRUE, IF(Mapping_Assets_Interfaces!$C44:$AY44&lt;&gt;"",
IF(Mapping_Assets_Interfaces!C$3:AY$3="Network", TRANSPOSE(Interfaces[Media for this interface
Dropdown menu]), ""), ""),""),,", "&amp;CHAR(10))))), "")</f>
        <v/>
      </c>
    </row>
    <row r="41" spans="1:17" customFormat="1" x14ac:dyDescent="0.3">
      <c r="A41" s="548"/>
      <c r="B41" s="85"/>
      <c r="C41" s="51"/>
      <c r="D41" s="19"/>
      <c r="E41" s="19"/>
      <c r="F41" s="83" t="str">
        <f t="shared" si="1"/>
        <v/>
      </c>
      <c r="G41" s="83" t="str">
        <f t="shared" si="0"/>
        <v/>
      </c>
      <c r="H41" s="19"/>
      <c r="I41" s="19"/>
      <c r="J41" s="19"/>
      <c r="K41" s="547"/>
      <c r="M41" s="489" t="str">
        <v/>
      </c>
      <c r="N41" s="481" t="str" cm="1">
        <f t="array" ref="N41">IF(M41&lt;&gt;"",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41" s="481" t="str">
        <v/>
      </c>
      <c r="P41" s="482" t="str" cm="1">
        <f t="array" ref="P41">IF(Mapping_Assets_Interfaces!$A45="","",
_xlfn.TEXTJOIN(", "&amp;CHAR(10), TRUE, IF(Mapping_Assets_Interfaces!$C45:$AY45&lt;&gt;"",
IF(Mapping_Assets_Interfaces!C$3:AY$3="Network", Mapping_Assets_Interfaces!C$2:AY$2, ""), ""),""))</f>
        <v/>
      </c>
      <c r="Q41" s="488" t="str" cm="1">
        <f t="array" ref="Q41">IFERROR(IF(Mapping_Assets_Interfaces!$A45="","",
_xlfn.TEXTJOIN(", "&amp;CHAR(10), TRUE, _xlfn.UNIQUE(_xlfn.TEXTSPLIT(
_xlfn.TEXTJOIN(", "&amp;CHAR(10), TRUE, IF(Mapping_Assets_Interfaces!$C45:$AY45&lt;&gt;"",
IF(Mapping_Assets_Interfaces!C$3:AY$3="Network", TRANSPOSE(Interfaces[Media for this interface
Dropdown menu]), ""), ""),""),,", "&amp;CHAR(10))))), "")</f>
        <v/>
      </c>
    </row>
    <row r="42" spans="1:17" customFormat="1" x14ac:dyDescent="0.3">
      <c r="A42" s="549"/>
      <c r="B42" s="84"/>
      <c r="C42" s="51"/>
      <c r="D42" s="19"/>
      <c r="E42" s="19"/>
      <c r="F42" s="83" t="str">
        <f t="shared" si="1"/>
        <v/>
      </c>
      <c r="G42" s="83" t="str">
        <f t="shared" si="0"/>
        <v/>
      </c>
      <c r="H42" s="19"/>
      <c r="I42" s="19"/>
      <c r="J42" s="19"/>
      <c r="K42" s="547"/>
      <c r="M42" s="489" t="str">
        <v/>
      </c>
      <c r="N42" s="481" t="str" cm="1">
        <f t="array" ref="N42">IF(M42&lt;&gt;"",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42" s="481" t="str">
        <v/>
      </c>
      <c r="P42" s="482" t="str" cm="1">
        <f t="array" ref="P42">IF(Mapping_Assets_Interfaces!$A46="","",
_xlfn.TEXTJOIN(", "&amp;CHAR(10), TRUE, IF(Mapping_Assets_Interfaces!$C46:$AY46&lt;&gt;"",
IF(Mapping_Assets_Interfaces!C$3:AY$3="Network", Mapping_Assets_Interfaces!C$2:AY$2, ""), ""),""))</f>
        <v/>
      </c>
      <c r="Q42" s="488" t="str" cm="1">
        <f t="array" ref="Q42">IFERROR(IF(Mapping_Assets_Interfaces!$A46="","",
_xlfn.TEXTJOIN(", "&amp;CHAR(10), TRUE, _xlfn.UNIQUE(_xlfn.TEXTSPLIT(
_xlfn.TEXTJOIN(", "&amp;CHAR(10), TRUE, IF(Mapping_Assets_Interfaces!$C46:$AY46&lt;&gt;"",
IF(Mapping_Assets_Interfaces!C$3:AY$3="Network", TRANSPOSE(Interfaces[Media for this interface
Dropdown menu]), ""), ""),""),,", "&amp;CHAR(10))))), "")</f>
        <v/>
      </c>
    </row>
    <row r="43" spans="1:17" customFormat="1" x14ac:dyDescent="0.3">
      <c r="A43" s="546"/>
      <c r="B43" s="85"/>
      <c r="C43" s="51"/>
      <c r="D43" s="19"/>
      <c r="E43" s="19"/>
      <c r="F43" s="83" t="str">
        <f t="shared" si="1"/>
        <v/>
      </c>
      <c r="G43" s="83" t="str">
        <f t="shared" si="0"/>
        <v/>
      </c>
      <c r="H43" s="19"/>
      <c r="I43" s="19"/>
      <c r="J43" s="19"/>
      <c r="K43" s="547"/>
      <c r="M43" s="489" t="str">
        <v/>
      </c>
      <c r="N43" s="481" t="str" cm="1">
        <f t="array" ref="N43">IF(M43&lt;&gt;"",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43" s="481" t="str">
        <v/>
      </c>
      <c r="P43" s="482" t="str" cm="1">
        <f t="array" ref="P43">IF(Mapping_Assets_Interfaces!$A47="","",
_xlfn.TEXTJOIN(", "&amp;CHAR(10), TRUE, IF(Mapping_Assets_Interfaces!$C47:$AY47&lt;&gt;"",
IF(Mapping_Assets_Interfaces!C$3:AY$3="Network", Mapping_Assets_Interfaces!C$2:AY$2, ""), ""),""))</f>
        <v/>
      </c>
      <c r="Q43" s="488" t="str" cm="1">
        <f t="array" ref="Q43">IFERROR(IF(Mapping_Assets_Interfaces!$A47="","",
_xlfn.TEXTJOIN(", "&amp;CHAR(10), TRUE, _xlfn.UNIQUE(_xlfn.TEXTSPLIT(
_xlfn.TEXTJOIN(", "&amp;CHAR(10), TRUE, IF(Mapping_Assets_Interfaces!$C47:$AY47&lt;&gt;"",
IF(Mapping_Assets_Interfaces!C$3:AY$3="Network", TRANSPOSE(Interfaces[Media for this interface
Dropdown menu]), ""), ""),""),,", "&amp;CHAR(10))))), "")</f>
        <v/>
      </c>
    </row>
    <row r="44" spans="1:17" customFormat="1" x14ac:dyDescent="0.3">
      <c r="A44" s="546"/>
      <c r="B44" s="20"/>
      <c r="C44" s="51"/>
      <c r="D44" s="19"/>
      <c r="E44" s="19"/>
      <c r="F44" s="83" t="str">
        <f t="shared" si="1"/>
        <v/>
      </c>
      <c r="G44" s="83" t="str">
        <f t="shared" si="0"/>
        <v/>
      </c>
      <c r="H44" s="19"/>
      <c r="I44" s="19"/>
      <c r="J44" s="19"/>
      <c r="K44" s="547"/>
      <c r="M44" s="489" t="str">
        <v/>
      </c>
      <c r="N44" s="481" t="str" cm="1">
        <f t="array" ref="N44">IF(M44&lt;&gt;"",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44" s="481" t="str">
        <v/>
      </c>
      <c r="P44" s="482" t="str" cm="1">
        <f t="array" ref="P44">IF(Mapping_Assets_Interfaces!$A48="","",
_xlfn.TEXTJOIN(", "&amp;CHAR(10), TRUE, IF(Mapping_Assets_Interfaces!$C48:$AY48&lt;&gt;"",
IF(Mapping_Assets_Interfaces!C$3:AY$3="Network", Mapping_Assets_Interfaces!C$2:AY$2, ""), ""),""))</f>
        <v/>
      </c>
      <c r="Q44" s="488" t="str" cm="1">
        <f t="array" ref="Q44">IFERROR(IF(Mapping_Assets_Interfaces!$A48="","",
_xlfn.TEXTJOIN(", "&amp;CHAR(10), TRUE, _xlfn.UNIQUE(_xlfn.TEXTSPLIT(
_xlfn.TEXTJOIN(", "&amp;CHAR(10), TRUE, IF(Mapping_Assets_Interfaces!$C48:$AY48&lt;&gt;"",
IF(Mapping_Assets_Interfaces!C$3:AY$3="Network", TRANSPOSE(Interfaces[Media for this interface
Dropdown menu]), ""), ""),""),,", "&amp;CHAR(10))))), "")</f>
        <v/>
      </c>
    </row>
    <row r="45" spans="1:17" customFormat="1" x14ac:dyDescent="0.3">
      <c r="A45" s="548"/>
      <c r="B45" s="19"/>
      <c r="C45" s="51"/>
      <c r="D45" s="19"/>
      <c r="E45" s="19"/>
      <c r="F45" s="83" t="str">
        <f t="shared" si="1"/>
        <v/>
      </c>
      <c r="G45" s="83" t="str">
        <f t="shared" si="0"/>
        <v/>
      </c>
      <c r="H45" s="19"/>
      <c r="I45" s="19"/>
      <c r="J45" s="19"/>
      <c r="K45" s="547"/>
      <c r="M45" s="489" t="str">
        <v/>
      </c>
      <c r="N45" s="481" t="str" cm="1">
        <f t="array" ref="N45">IF(M45&lt;&gt;"",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45" s="481" t="str">
        <v/>
      </c>
      <c r="P45" s="482" t="str" cm="1">
        <f t="array" ref="P45">IF(Mapping_Assets_Interfaces!$A49="","",
_xlfn.TEXTJOIN(", "&amp;CHAR(10), TRUE, IF(Mapping_Assets_Interfaces!$C49:$AY49&lt;&gt;"",
IF(Mapping_Assets_Interfaces!C$3:AY$3="Network", Mapping_Assets_Interfaces!C$2:AY$2, ""), ""),""))</f>
        <v/>
      </c>
      <c r="Q45" s="488" t="str" cm="1">
        <f t="array" ref="Q45">IFERROR(IF(Mapping_Assets_Interfaces!$A49="","",
_xlfn.TEXTJOIN(", "&amp;CHAR(10), TRUE, _xlfn.UNIQUE(_xlfn.TEXTSPLIT(
_xlfn.TEXTJOIN(", "&amp;CHAR(10), TRUE, IF(Mapping_Assets_Interfaces!$C49:$AY49&lt;&gt;"",
IF(Mapping_Assets_Interfaces!C$3:AY$3="Network", TRANSPOSE(Interfaces[Media for this interface
Dropdown menu]), ""), ""),""),,", "&amp;CHAR(10))))), "")</f>
        <v/>
      </c>
    </row>
    <row r="46" spans="1:17" customFormat="1" x14ac:dyDescent="0.3">
      <c r="A46" s="548"/>
      <c r="B46" s="19"/>
      <c r="C46" s="51"/>
      <c r="D46" s="19"/>
      <c r="E46" s="19"/>
      <c r="F46" s="83" t="str">
        <f t="shared" si="1"/>
        <v/>
      </c>
      <c r="G46" s="83" t="str">
        <f t="shared" si="0"/>
        <v/>
      </c>
      <c r="H46" s="19"/>
      <c r="I46" s="19"/>
      <c r="J46" s="19"/>
      <c r="K46" s="547"/>
      <c r="M46" s="489" t="str">
        <v/>
      </c>
      <c r="N46" s="481" t="str" cm="1">
        <f t="array" ref="N46">IF(M46&lt;&gt;"",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46" s="481" t="str">
        <v/>
      </c>
      <c r="P46" s="482" t="str" cm="1">
        <f t="array" ref="P46">IF(Mapping_Assets_Interfaces!$A50="","",
_xlfn.TEXTJOIN(", "&amp;CHAR(10), TRUE, IF(Mapping_Assets_Interfaces!$C50:$AY50&lt;&gt;"",
IF(Mapping_Assets_Interfaces!C$3:AY$3="Network", Mapping_Assets_Interfaces!C$2:AY$2, ""), ""),""))</f>
        <v/>
      </c>
      <c r="Q46" s="488" t="str" cm="1">
        <f t="array" ref="Q46">IFERROR(IF(Mapping_Assets_Interfaces!$A50="","",
_xlfn.TEXTJOIN(", "&amp;CHAR(10), TRUE, _xlfn.UNIQUE(_xlfn.TEXTSPLIT(
_xlfn.TEXTJOIN(", "&amp;CHAR(10), TRUE, IF(Mapping_Assets_Interfaces!$C50:$AY50&lt;&gt;"",
IF(Mapping_Assets_Interfaces!C$3:AY$3="Network", TRANSPOSE(Interfaces[Media for this interface
Dropdown menu]), ""), ""),""),,", "&amp;CHAR(10))))), "")</f>
        <v/>
      </c>
    </row>
    <row r="47" spans="1:17" customFormat="1" x14ac:dyDescent="0.3">
      <c r="A47" s="549"/>
      <c r="B47" s="18"/>
      <c r="C47" s="51"/>
      <c r="D47" s="19"/>
      <c r="E47" s="19"/>
      <c r="F47" s="83" t="str">
        <f t="shared" si="1"/>
        <v/>
      </c>
      <c r="G47" s="83" t="str">
        <f t="shared" si="0"/>
        <v/>
      </c>
      <c r="H47" s="19"/>
      <c r="I47" s="19"/>
      <c r="J47" s="19"/>
      <c r="K47" s="547"/>
      <c r="M47" s="489" t="str">
        <v/>
      </c>
      <c r="N47" s="481" t="str" cm="1">
        <f t="array" ref="N47">IF(M47&lt;&gt;"",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47" s="481" t="str">
        <v/>
      </c>
      <c r="P47" s="482" t="str" cm="1">
        <f t="array" ref="P47">IF(Mapping_Assets_Interfaces!$A51="","",
_xlfn.TEXTJOIN(", "&amp;CHAR(10), TRUE, IF(Mapping_Assets_Interfaces!$C51:$AY51&lt;&gt;"",
IF(Mapping_Assets_Interfaces!C$3:AY$3="Network", Mapping_Assets_Interfaces!C$2:AY$2, ""), ""),""))</f>
        <v/>
      </c>
      <c r="Q47" s="488" t="str" cm="1">
        <f t="array" ref="Q47">IFERROR(IF(Mapping_Assets_Interfaces!$A51="","",
_xlfn.TEXTJOIN(", "&amp;CHAR(10), TRUE, _xlfn.UNIQUE(_xlfn.TEXTSPLIT(
_xlfn.TEXTJOIN(", "&amp;CHAR(10), TRUE, IF(Mapping_Assets_Interfaces!$C51:$AY51&lt;&gt;"",
IF(Mapping_Assets_Interfaces!C$3:AY$3="Network", TRANSPOSE(Interfaces[Media for this interface
Dropdown menu]), ""), ""),""),,", "&amp;CHAR(10))))), "")</f>
        <v/>
      </c>
    </row>
    <row r="48" spans="1:17" customFormat="1" x14ac:dyDescent="0.3">
      <c r="A48" s="546"/>
      <c r="B48" s="19"/>
      <c r="C48" s="51"/>
      <c r="D48" s="19"/>
      <c r="E48" s="19"/>
      <c r="F48" s="83" t="str">
        <f t="shared" si="1"/>
        <v/>
      </c>
      <c r="G48" s="83" t="str">
        <f t="shared" si="0"/>
        <v/>
      </c>
      <c r="H48" s="19"/>
      <c r="I48" s="19"/>
      <c r="J48" s="19"/>
      <c r="K48" s="547"/>
      <c r="M48" s="489" t="str">
        <v/>
      </c>
      <c r="N48" s="481" t="str" cm="1">
        <f t="array" ref="N48">IF(M48&lt;&gt;"",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48" s="481" t="str">
        <v/>
      </c>
      <c r="P48" s="482" t="str" cm="1">
        <f t="array" ref="P48">IF(Mapping_Assets_Interfaces!$A52="","",
_xlfn.TEXTJOIN(", "&amp;CHAR(10), TRUE, IF(Mapping_Assets_Interfaces!$C52:$AY52&lt;&gt;"",
IF(Mapping_Assets_Interfaces!C$3:AY$3="Network", Mapping_Assets_Interfaces!C$2:AY$2, ""), ""),""))</f>
        <v/>
      </c>
      <c r="Q48" s="488" t="str" cm="1">
        <f t="array" ref="Q48">IFERROR(IF(Mapping_Assets_Interfaces!$A52="","",
_xlfn.TEXTJOIN(", "&amp;CHAR(10), TRUE, _xlfn.UNIQUE(_xlfn.TEXTSPLIT(
_xlfn.TEXTJOIN(", "&amp;CHAR(10), TRUE, IF(Mapping_Assets_Interfaces!$C52:$AY52&lt;&gt;"",
IF(Mapping_Assets_Interfaces!C$3:AY$3="Network", TRANSPOSE(Interfaces[Media for this interface
Dropdown menu]), ""), ""),""),,", "&amp;CHAR(10))))), "")</f>
        <v/>
      </c>
    </row>
    <row r="49" spans="1:17" customFormat="1" x14ac:dyDescent="0.3">
      <c r="A49" s="546"/>
      <c r="B49" s="20"/>
      <c r="C49" s="51"/>
      <c r="D49" s="19"/>
      <c r="E49" s="19"/>
      <c r="F49" s="83" t="str">
        <f t="shared" si="1"/>
        <v/>
      </c>
      <c r="G49" s="83" t="str">
        <f t="shared" si="0"/>
        <v/>
      </c>
      <c r="H49" s="19"/>
      <c r="I49" s="19"/>
      <c r="J49" s="19"/>
      <c r="K49" s="547"/>
      <c r="M49" s="489" t="str">
        <v/>
      </c>
      <c r="N49" s="481" t="str" cm="1">
        <f t="array" ref="N49">IF(M49&lt;&gt;"",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49" s="481" t="str">
        <v/>
      </c>
      <c r="P49" s="482" t="str" cm="1">
        <f t="array" ref="P49">IF(Mapping_Assets_Interfaces!$A53="","",
_xlfn.TEXTJOIN(", "&amp;CHAR(10), TRUE, IF(Mapping_Assets_Interfaces!$C53:$AY53&lt;&gt;"",
IF(Mapping_Assets_Interfaces!C$3:AY$3="Network", Mapping_Assets_Interfaces!C$2:AY$2, ""), ""),""))</f>
        <v/>
      </c>
      <c r="Q49" s="488" t="str" cm="1">
        <f t="array" ref="Q49">IFERROR(IF(Mapping_Assets_Interfaces!$A53="","",
_xlfn.TEXTJOIN(", "&amp;CHAR(10), TRUE, _xlfn.UNIQUE(_xlfn.TEXTSPLIT(
_xlfn.TEXTJOIN(", "&amp;CHAR(10), TRUE, IF(Mapping_Assets_Interfaces!$C53:$AY53&lt;&gt;"",
IF(Mapping_Assets_Interfaces!C$3:AY$3="Network", TRANSPOSE(Interfaces[Media for this interface
Dropdown menu]), ""), ""),""),,", "&amp;CHAR(10))))), "")</f>
        <v/>
      </c>
    </row>
    <row r="50" spans="1:17" customFormat="1" ht="17.25" thickBot="1" x14ac:dyDescent="0.35">
      <c r="A50" s="550"/>
      <c r="B50" s="521"/>
      <c r="C50" s="551"/>
      <c r="D50" s="521"/>
      <c r="E50" s="521"/>
      <c r="F50" s="552" t="str">
        <f t="shared" si="1"/>
        <v/>
      </c>
      <c r="G50" s="552" t="str">
        <f t="shared" si="0"/>
        <v/>
      </c>
      <c r="H50" s="521"/>
      <c r="I50" s="521"/>
      <c r="J50" s="521"/>
      <c r="K50" s="553"/>
      <c r="M50" s="490" t="str">
        <v/>
      </c>
      <c r="N50" s="491" t="str" cm="1">
        <f t="array" ref="N50">IF(M50&lt;&gt;"", _xlfn.TEXTJOIN(", "&amp;CHAR(10), TRUE, _xlfn.UNIQUE(_xlfn.CHOOSEROWS(Interfaces[Type of interface
Dropdown menu], MATCH(_xlfn.TEXTSPLIT(Assets[[#This Row],[Interfaces by which this asset is accessible
Autofill]],, ", "&amp;CHAR(10), TRUE), Interfaces[Interface ID
Free text], 0)))), "")</f>
        <v/>
      </c>
      <c r="O50" s="491" t="str">
        <v/>
      </c>
      <c r="P50" s="492" t="str" cm="1">
        <f t="array" ref="P50">IF(Mapping_Assets_Interfaces!$A54="","",
_xlfn.TEXTJOIN(", "&amp;CHAR(10), TRUE, IF(Mapping_Assets_Interfaces!$C54:$AY54&lt;&gt;"",
IF(Mapping_Assets_Interfaces!C$3:AY$3="Network", Mapping_Assets_Interfaces!C$2:AY$2, ""), ""),""))</f>
        <v/>
      </c>
      <c r="Q50" s="493" t="str" cm="1">
        <f t="array" ref="Q50">IFERROR(IF(Mapping_Assets_Interfaces!$A54="","",
_xlfn.TEXTJOIN(", "&amp;CHAR(10), TRUE, _xlfn.UNIQUE(_xlfn.TEXTSPLIT(
_xlfn.TEXTJOIN(", "&amp;CHAR(10), TRUE, IF(Mapping_Assets_Interfaces!$C54:$AY54&lt;&gt;"",
IF(Mapping_Assets_Interfaces!C$3:AY$3="Network", TRANSPOSE(Interfaces[Media for this interface
Dropdown menu]), ""), ""),""),,", "&amp;CHAR(10))))), "")</f>
        <v/>
      </c>
    </row>
  </sheetData>
  <sheetProtection algorithmName="SHA-512" hashValue="ProfqeOgV+51fTA//1sunTSmGjylfwizn/9d9LX7+xedXUogRsOH0IbKTIJAELPL+skysj1QtKiFkub1ThbXyg==" saltValue="RN4l5/mVnDFGkONqd3D+8w==" spinCount="100000" sheet="1" objects="1" scenarios="1" formatCells="0" formatColumns="0" formatRows="0" sort="0"/>
  <protectedRanges>
    <protectedRange sqref="H2:K50" name="Assets_2"/>
    <protectedRange sqref="A2:E50" name="Assets_1"/>
  </protectedRanges>
  <dataValidations count="6">
    <dataValidation type="list" allowBlank="1" showInputMessage="1" showErrorMessage="1" sqref="H2:H50" xr:uid="{99B5C1BC-A1ED-4915-91DA-D50E9D30F6E4}">
      <formula1>"Yes. Persistently stored,Not persistently stored"</formula1>
    </dataValidation>
    <dataValidation type="list" allowBlank="1" showInputMessage="1" showErrorMessage="1" sqref="I2:I50" xr:uid="{D2544824-AD5E-4093-A3AC-F9EE73A07F50}">
      <formula1>"Yes. Network-accessible,Not accessible via a network"</formula1>
    </dataValidation>
    <dataValidation type="list" allowBlank="1" showInputMessage="1" showErrorMessage="1" sqref="J2:K50" xr:uid="{00E243BD-E3FF-4FD3-922B-6F38601CEFE9}">
      <formula1>"Yes,No"</formula1>
    </dataValidation>
    <dataValidation type="list" allowBlank="1" showInputMessage="1" showErrorMessage="1" sqref="E2:E50" xr:uid="{516AC65B-70D7-4F28-9DA9-5B1F7A3D72F3}">
      <formula1>"Confidential,Sensitive,Public"</formula1>
    </dataValidation>
    <dataValidation type="list" allowBlank="1" showInputMessage="1" showErrorMessage="1" sqref="D2:D50" xr:uid="{1C8927E3-69F1-4796-939F-E176028D3CE6}">
      <formula1>"Parameter,Function"</formula1>
    </dataValidation>
    <dataValidation type="list" allowBlank="1" showInputMessage="1" showErrorMessage="1" sqref="C2:C50" xr:uid="{0367837A-3AE7-4208-917D-E81242F26D87}">
      <formula1>"Network,Privacy,Financial,Security"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1A2F3-9F58-4B22-85DF-54A7B6F4D812}">
  <sheetPr>
    <tabColor theme="2" tint="0.79998168889431442"/>
    <pageSetUpPr autoPageBreaks="0"/>
  </sheetPr>
  <dimension ref="A1:M50"/>
  <sheetViews>
    <sheetView zoomScaleNormal="100" workbookViewId="0"/>
  </sheetViews>
  <sheetFormatPr defaultColWidth="20.75" defaultRowHeight="16.5" x14ac:dyDescent="0.3"/>
  <cols>
    <col min="2" max="2" width="45.5" customWidth="1"/>
    <col min="6" max="6" width="30.375" customWidth="1"/>
    <col min="7" max="7" width="26.75" customWidth="1"/>
    <col min="8" max="8" width="30.875" customWidth="1"/>
    <col min="9" max="9" width="26.75" style="1" customWidth="1"/>
    <col min="10" max="10" width="24" style="82" bestFit="1" customWidth="1"/>
    <col min="11" max="13" width="31.125" style="1" customWidth="1"/>
    <col min="14" max="16384" width="20.75" style="1"/>
  </cols>
  <sheetData>
    <row r="1" spans="1:13" s="525" customFormat="1" ht="66.75" thickBot="1" x14ac:dyDescent="0.35">
      <c r="A1" s="508" t="s">
        <v>86</v>
      </c>
      <c r="B1" s="509" t="s">
        <v>84</v>
      </c>
      <c r="C1" s="509" t="s">
        <v>87</v>
      </c>
      <c r="D1" s="509" t="s">
        <v>183</v>
      </c>
      <c r="E1" s="510" t="s">
        <v>127</v>
      </c>
      <c r="F1" s="510" t="s">
        <v>122</v>
      </c>
      <c r="G1" s="511" t="s">
        <v>252</v>
      </c>
      <c r="H1" s="512" t="s">
        <v>91</v>
      </c>
      <c r="I1" s="81"/>
      <c r="J1" s="496" t="s">
        <v>128</v>
      </c>
      <c r="K1" s="498" t="s">
        <v>121</v>
      </c>
      <c r="L1" s="498" t="s">
        <v>255</v>
      </c>
      <c r="M1" s="499" t="s">
        <v>219</v>
      </c>
    </row>
    <row r="2" spans="1:13" ht="49.5" x14ac:dyDescent="0.3">
      <c r="A2" s="526"/>
      <c r="B2" s="527"/>
      <c r="C2" s="527"/>
      <c r="D2" s="528"/>
      <c r="E2" s="529" t="str">
        <f>IF(Interfaces[[#This Row],[Interface ID
Free text]]&lt;&gt;"", J2, "")</f>
        <v/>
      </c>
      <c r="F2" s="529" t="str">
        <f>IF(Interfaces[[#This Row],[Interface ID
Free text]]&lt;&gt;"", K2, "")</f>
        <v/>
      </c>
      <c r="G2" s="527"/>
      <c r="H2" s="530"/>
      <c r="J2" s="483" t="str" cm="1">
        <f t="array" ref="J2:J50">Mapping_Entities_Interfaces!B4:B52</f>
        <v/>
      </c>
      <c r="K2" s="485" t="str" cm="1">
        <f t="array" ref="K2:K50">TRANSPOSE(Mapping_Assets_Interfaces!C5:AY5)</f>
        <v/>
      </c>
      <c r="L2" s="485" t="str" cm="1">
        <f t="array" ref="L2:L50">TRANSPOSE(Mapping_Assets_Interfaces!C4:AY4)</f>
        <v/>
      </c>
      <c r="M2" s="486" t="e" cm="1">
        <f t="array" ref="M2">_xlfn.TEXTSPLIT(_xlfn.TEXTJOIN(", "&amp;CHAR(10), TRUE, IF(Interfaces[Type of interface
Dropdown menu]="Network", Interfaces[Interface ID
Free text], "")),,", "&amp;CHAR(10))</f>
        <v>#VALUE!</v>
      </c>
    </row>
    <row r="3" spans="1:13" x14ac:dyDescent="0.3">
      <c r="A3" s="531"/>
      <c r="B3" s="126"/>
      <c r="C3" s="126"/>
      <c r="D3" s="127"/>
      <c r="E3" s="54" t="str">
        <f>IF(Interfaces[[#This Row],[Interface ID
Free text]]&lt;&gt;"", J3, "")</f>
        <v/>
      </c>
      <c r="F3" s="54" t="str">
        <f>IF(Interfaces[[#This Row],[Interface ID
Free text]]&lt;&gt;"", K3, "")</f>
        <v/>
      </c>
      <c r="G3" s="126"/>
      <c r="H3" s="532"/>
      <c r="J3" s="487" t="str">
        <v/>
      </c>
      <c r="K3" s="482" t="str">
        <v/>
      </c>
      <c r="L3" s="482" t="str">
        <v/>
      </c>
      <c r="M3" s="488"/>
    </row>
    <row r="4" spans="1:13" ht="33" x14ac:dyDescent="0.3">
      <c r="A4" s="531"/>
      <c r="B4" s="126"/>
      <c r="C4" s="126"/>
      <c r="D4" s="127"/>
      <c r="E4" s="54" t="str">
        <f>IF(Interfaces[[#This Row],[Interface ID
Free text]]&lt;&gt;"", J4, "")</f>
        <v/>
      </c>
      <c r="F4" s="54" t="str">
        <f>IF(Interfaces[[#This Row],[Interface ID
Free text]]&lt;&gt;"", K4, "")</f>
        <v/>
      </c>
      <c r="G4" s="126"/>
      <c r="H4" s="532"/>
      <c r="J4" s="487" t="str">
        <v/>
      </c>
      <c r="K4" s="482" t="str">
        <v/>
      </c>
      <c r="L4" s="482" t="str">
        <v/>
      </c>
      <c r="M4" s="488"/>
    </row>
    <row r="5" spans="1:13" x14ac:dyDescent="0.3">
      <c r="A5" s="531"/>
      <c r="B5" s="126"/>
      <c r="C5" s="126"/>
      <c r="D5" s="127"/>
      <c r="E5" s="54" t="str">
        <f>IF(Interfaces[[#This Row],[Interface ID
Free text]]&lt;&gt;"", J5, "")</f>
        <v/>
      </c>
      <c r="F5" s="54" t="str">
        <f>IF(Interfaces[[#This Row],[Interface ID
Free text]]&lt;&gt;"", K5, "")</f>
        <v/>
      </c>
      <c r="G5" s="126"/>
      <c r="H5" s="532"/>
      <c r="J5" s="487" t="str">
        <v/>
      </c>
      <c r="K5" s="482" t="str">
        <v/>
      </c>
      <c r="L5" s="482" t="str">
        <v/>
      </c>
      <c r="M5" s="488"/>
    </row>
    <row r="6" spans="1:13" x14ac:dyDescent="0.3">
      <c r="A6" s="533"/>
      <c r="B6" s="126"/>
      <c r="C6" s="126"/>
      <c r="D6" s="127"/>
      <c r="E6" s="54" t="str">
        <f>IF(Interfaces[[#This Row],[Interface ID
Free text]]&lt;&gt;"", J6, "")</f>
        <v/>
      </c>
      <c r="F6" s="54" t="str">
        <f>IF(Interfaces[[#This Row],[Interface ID
Free text]]&lt;&gt;"", K6, "")</f>
        <v/>
      </c>
      <c r="G6" s="126"/>
      <c r="H6" s="532"/>
      <c r="J6" s="500" t="str">
        <v/>
      </c>
      <c r="K6" s="481" t="str">
        <v/>
      </c>
      <c r="L6" s="481" t="str">
        <v/>
      </c>
      <c r="M6" s="501"/>
    </row>
    <row r="7" spans="1:13" x14ac:dyDescent="0.3">
      <c r="A7" s="533"/>
      <c r="B7" s="126"/>
      <c r="C7" s="126"/>
      <c r="D7" s="127"/>
      <c r="E7" s="54" t="str">
        <f>IF(Interfaces[[#This Row],[Interface ID
Free text]]&lt;&gt;"", J7, "")</f>
        <v/>
      </c>
      <c r="F7" s="54" t="str">
        <f>IF(Interfaces[[#This Row],[Interface ID
Free text]]&lt;&gt;"", K7, "")</f>
        <v/>
      </c>
      <c r="G7" s="126"/>
      <c r="H7" s="532"/>
      <c r="J7" s="500" t="str">
        <v/>
      </c>
      <c r="K7" s="481" t="str">
        <v/>
      </c>
      <c r="L7" s="481" t="str">
        <v/>
      </c>
      <c r="M7" s="501"/>
    </row>
    <row r="8" spans="1:13" x14ac:dyDescent="0.3">
      <c r="A8" s="533"/>
      <c r="B8" s="126"/>
      <c r="C8" s="126"/>
      <c r="D8" s="127"/>
      <c r="E8" s="54" t="str">
        <f>IF(Interfaces[[#This Row],[Interface ID
Free text]]&lt;&gt;"", J8, "")</f>
        <v/>
      </c>
      <c r="F8" s="54" t="str">
        <f>IF(Interfaces[[#This Row],[Interface ID
Free text]]&lt;&gt;"", K8, "")</f>
        <v/>
      </c>
      <c r="G8" s="126"/>
      <c r="H8" s="532"/>
      <c r="J8" s="500" t="str">
        <v/>
      </c>
      <c r="K8" s="481" t="str">
        <v/>
      </c>
      <c r="L8" s="481" t="str">
        <v/>
      </c>
      <c r="M8" s="501"/>
    </row>
    <row r="9" spans="1:13" x14ac:dyDescent="0.3">
      <c r="A9" s="533"/>
      <c r="B9" s="126"/>
      <c r="C9" s="126"/>
      <c r="D9" s="127"/>
      <c r="E9" s="54" t="str">
        <f>IF(Interfaces[[#This Row],[Interface ID
Free text]]&lt;&gt;"", J9, "")</f>
        <v/>
      </c>
      <c r="F9" s="54" t="str">
        <f>IF(Interfaces[[#This Row],[Interface ID
Free text]]&lt;&gt;"", K9, "")</f>
        <v/>
      </c>
      <c r="G9" s="126"/>
      <c r="H9" s="532"/>
      <c r="J9" s="500" t="str">
        <v/>
      </c>
      <c r="K9" s="481" t="str">
        <v/>
      </c>
      <c r="L9" s="481" t="str">
        <v/>
      </c>
      <c r="M9" s="501"/>
    </row>
    <row r="10" spans="1:13" x14ac:dyDescent="0.3">
      <c r="A10" s="533"/>
      <c r="B10" s="126"/>
      <c r="C10" s="126"/>
      <c r="D10" s="127"/>
      <c r="E10" s="54" t="str">
        <f>IF(Interfaces[[#This Row],[Interface ID
Free text]]&lt;&gt;"", J10, "")</f>
        <v/>
      </c>
      <c r="F10" s="54" t="str">
        <f>IF(Interfaces[[#This Row],[Interface ID
Free text]]&lt;&gt;"", K10, "")</f>
        <v/>
      </c>
      <c r="G10" s="126"/>
      <c r="H10" s="532"/>
      <c r="J10" s="500" t="str">
        <v/>
      </c>
      <c r="K10" s="481" t="str">
        <v/>
      </c>
      <c r="L10" s="481" t="str">
        <v/>
      </c>
      <c r="M10" s="501"/>
    </row>
    <row r="11" spans="1:13" x14ac:dyDescent="0.3">
      <c r="A11" s="533"/>
      <c r="B11" s="126"/>
      <c r="C11" s="126"/>
      <c r="D11" s="127"/>
      <c r="E11" s="54" t="str">
        <f>IF(Interfaces[[#This Row],[Interface ID
Free text]]&lt;&gt;"", J11, "")</f>
        <v/>
      </c>
      <c r="F11" s="54" t="str">
        <f>IF(Interfaces[[#This Row],[Interface ID
Free text]]&lt;&gt;"", K11, "")</f>
        <v/>
      </c>
      <c r="G11" s="126"/>
      <c r="H11" s="532"/>
      <c r="J11" s="500" t="str">
        <v/>
      </c>
      <c r="K11" s="481" t="str">
        <v/>
      </c>
      <c r="L11" s="481" t="str">
        <v/>
      </c>
      <c r="M11" s="501"/>
    </row>
    <row r="12" spans="1:13" x14ac:dyDescent="0.3">
      <c r="A12" s="533"/>
      <c r="B12" s="126"/>
      <c r="C12" s="126"/>
      <c r="D12" s="127"/>
      <c r="E12" s="54" t="str">
        <f>IF(Interfaces[[#This Row],[Interface ID
Free text]]&lt;&gt;"", J12, "")</f>
        <v/>
      </c>
      <c r="F12" s="54" t="str">
        <f>IF(Interfaces[[#This Row],[Interface ID
Free text]]&lt;&gt;"", K12, "")</f>
        <v/>
      </c>
      <c r="G12" s="126"/>
      <c r="H12" s="532"/>
      <c r="J12" s="500" t="str">
        <v/>
      </c>
      <c r="K12" s="481" t="str">
        <v/>
      </c>
      <c r="L12" s="481" t="str">
        <v/>
      </c>
      <c r="M12" s="501"/>
    </row>
    <row r="13" spans="1:13" x14ac:dyDescent="0.3">
      <c r="A13" s="533"/>
      <c r="B13" s="126"/>
      <c r="C13" s="126"/>
      <c r="D13" s="127"/>
      <c r="E13" s="54" t="str">
        <f>IF(Interfaces[[#This Row],[Interface ID
Free text]]&lt;&gt;"", J13, "")</f>
        <v/>
      </c>
      <c r="F13" s="54" t="str">
        <f>IF(Interfaces[[#This Row],[Interface ID
Free text]]&lt;&gt;"", K13, "")</f>
        <v/>
      </c>
      <c r="G13" s="126"/>
      <c r="H13" s="532"/>
      <c r="J13" s="500" t="str">
        <v/>
      </c>
      <c r="K13" s="481" t="str">
        <v/>
      </c>
      <c r="L13" s="481" t="str">
        <v/>
      </c>
      <c r="M13" s="501"/>
    </row>
    <row r="14" spans="1:13" x14ac:dyDescent="0.3">
      <c r="A14" s="533"/>
      <c r="B14" s="126"/>
      <c r="C14" s="126"/>
      <c r="D14" s="127"/>
      <c r="E14" s="54" t="str">
        <f>IF(Interfaces[[#This Row],[Interface ID
Free text]]&lt;&gt;"", J14, "")</f>
        <v/>
      </c>
      <c r="F14" s="54" t="str">
        <f>IF(Interfaces[[#This Row],[Interface ID
Free text]]&lt;&gt;"", K14, "")</f>
        <v/>
      </c>
      <c r="G14" s="126"/>
      <c r="H14" s="532"/>
      <c r="J14" s="500" t="str">
        <v/>
      </c>
      <c r="K14" s="481" t="str">
        <v/>
      </c>
      <c r="L14" s="481" t="str">
        <v/>
      </c>
      <c r="M14" s="501"/>
    </row>
    <row r="15" spans="1:13" x14ac:dyDescent="0.3">
      <c r="A15" s="533"/>
      <c r="B15" s="126"/>
      <c r="C15" s="126"/>
      <c r="D15" s="127"/>
      <c r="E15" s="54" t="str">
        <f>IF(Interfaces[[#This Row],[Interface ID
Free text]]&lt;&gt;"", J15, "")</f>
        <v/>
      </c>
      <c r="F15" s="54" t="str">
        <f>IF(Interfaces[[#This Row],[Interface ID
Free text]]&lt;&gt;"", K15, "")</f>
        <v/>
      </c>
      <c r="G15" s="126"/>
      <c r="H15" s="532"/>
      <c r="J15" s="500" t="str">
        <v/>
      </c>
      <c r="K15" s="481" t="str">
        <v/>
      </c>
      <c r="L15" s="481" t="str">
        <v/>
      </c>
      <c r="M15" s="501"/>
    </row>
    <row r="16" spans="1:13" x14ac:dyDescent="0.3">
      <c r="A16" s="533"/>
      <c r="B16" s="126"/>
      <c r="C16" s="126"/>
      <c r="D16" s="127"/>
      <c r="E16" s="54" t="str">
        <f>IF(Interfaces[[#This Row],[Interface ID
Free text]]&lt;&gt;"", J16, "")</f>
        <v/>
      </c>
      <c r="F16" s="54" t="str">
        <f>IF(Interfaces[[#This Row],[Interface ID
Free text]]&lt;&gt;"", K16, "")</f>
        <v/>
      </c>
      <c r="G16" s="126"/>
      <c r="H16" s="532"/>
      <c r="J16" s="500" t="str">
        <v/>
      </c>
      <c r="K16" s="481" t="str">
        <v/>
      </c>
      <c r="L16" s="481" t="str">
        <v/>
      </c>
      <c r="M16" s="501"/>
    </row>
    <row r="17" spans="1:13" x14ac:dyDescent="0.3">
      <c r="A17" s="533"/>
      <c r="B17" s="126"/>
      <c r="C17" s="126"/>
      <c r="D17" s="127"/>
      <c r="E17" s="54" t="str">
        <f>IF(Interfaces[[#This Row],[Interface ID
Free text]]&lt;&gt;"", J17, "")</f>
        <v/>
      </c>
      <c r="F17" s="54" t="str">
        <f>IF(Interfaces[[#This Row],[Interface ID
Free text]]&lt;&gt;"", K17, "")</f>
        <v/>
      </c>
      <c r="G17" s="126"/>
      <c r="H17" s="532"/>
      <c r="J17" s="500" t="str">
        <v/>
      </c>
      <c r="K17" s="481" t="str">
        <v/>
      </c>
      <c r="L17" s="481" t="str">
        <v/>
      </c>
      <c r="M17" s="501"/>
    </row>
    <row r="18" spans="1:13" x14ac:dyDescent="0.3">
      <c r="A18" s="533"/>
      <c r="B18" s="126"/>
      <c r="C18" s="126"/>
      <c r="D18" s="127"/>
      <c r="E18" s="54" t="str">
        <f>IF(Interfaces[[#This Row],[Interface ID
Free text]]&lt;&gt;"", J18, "")</f>
        <v/>
      </c>
      <c r="F18" s="54" t="str">
        <f>IF(Interfaces[[#This Row],[Interface ID
Free text]]&lt;&gt;"", K18, "")</f>
        <v/>
      </c>
      <c r="G18" s="126"/>
      <c r="H18" s="532"/>
      <c r="J18" s="500" t="str">
        <v/>
      </c>
      <c r="K18" s="481" t="str">
        <v/>
      </c>
      <c r="L18" s="481" t="str">
        <v/>
      </c>
      <c r="M18" s="501"/>
    </row>
    <row r="19" spans="1:13" x14ac:dyDescent="0.3">
      <c r="A19" s="533"/>
      <c r="B19" s="126"/>
      <c r="C19" s="126"/>
      <c r="D19" s="127"/>
      <c r="E19" s="54" t="str">
        <f>IF(Interfaces[[#This Row],[Interface ID
Free text]]&lt;&gt;"", J19, "")</f>
        <v/>
      </c>
      <c r="F19" s="54" t="str">
        <f>IF(Interfaces[[#This Row],[Interface ID
Free text]]&lt;&gt;"", K19, "")</f>
        <v/>
      </c>
      <c r="G19" s="126"/>
      <c r="H19" s="532"/>
      <c r="J19" s="500" t="str">
        <v/>
      </c>
      <c r="K19" s="481" t="str">
        <v/>
      </c>
      <c r="L19" s="481" t="str">
        <v/>
      </c>
      <c r="M19" s="501"/>
    </row>
    <row r="20" spans="1:13" x14ac:dyDescent="0.3">
      <c r="A20" s="533"/>
      <c r="B20" s="126"/>
      <c r="C20" s="126"/>
      <c r="D20" s="127"/>
      <c r="E20" s="54" t="str">
        <f>IF(Interfaces[[#This Row],[Interface ID
Free text]]&lt;&gt;"", J20, "")</f>
        <v/>
      </c>
      <c r="F20" s="54" t="str">
        <f>IF(Interfaces[[#This Row],[Interface ID
Free text]]&lt;&gt;"", K20, "")</f>
        <v/>
      </c>
      <c r="G20" s="126"/>
      <c r="H20" s="532"/>
      <c r="J20" s="500" t="str">
        <v/>
      </c>
      <c r="K20" s="481" t="str">
        <v/>
      </c>
      <c r="L20" s="481" t="str">
        <v/>
      </c>
      <c r="M20" s="501"/>
    </row>
    <row r="21" spans="1:13" x14ac:dyDescent="0.3">
      <c r="A21" s="533"/>
      <c r="B21" s="126"/>
      <c r="C21" s="126"/>
      <c r="D21" s="127"/>
      <c r="E21" s="54" t="str">
        <f>IF(Interfaces[[#This Row],[Interface ID
Free text]]&lt;&gt;"", J21, "")</f>
        <v/>
      </c>
      <c r="F21" s="54" t="str">
        <f>IF(Interfaces[[#This Row],[Interface ID
Free text]]&lt;&gt;"", K21, "")</f>
        <v/>
      </c>
      <c r="G21" s="126"/>
      <c r="H21" s="532"/>
      <c r="J21" s="500" t="str">
        <v/>
      </c>
      <c r="K21" s="481" t="str">
        <v/>
      </c>
      <c r="L21" s="481" t="str">
        <v/>
      </c>
      <c r="M21" s="501"/>
    </row>
    <row r="22" spans="1:13" x14ac:dyDescent="0.3">
      <c r="A22" s="533"/>
      <c r="B22" s="126"/>
      <c r="C22" s="126"/>
      <c r="D22" s="127"/>
      <c r="E22" s="54" t="str">
        <f>IF(Interfaces[[#This Row],[Interface ID
Free text]]&lt;&gt;"", J22, "")</f>
        <v/>
      </c>
      <c r="F22" s="54" t="str">
        <f>IF(Interfaces[[#This Row],[Interface ID
Free text]]&lt;&gt;"", K22, "")</f>
        <v/>
      </c>
      <c r="G22" s="126"/>
      <c r="H22" s="532"/>
      <c r="J22" s="500" t="str">
        <v/>
      </c>
      <c r="K22" s="481" t="str">
        <v/>
      </c>
      <c r="L22" s="481" t="str">
        <v/>
      </c>
      <c r="M22" s="501"/>
    </row>
    <row r="23" spans="1:13" x14ac:dyDescent="0.3">
      <c r="A23" s="533"/>
      <c r="B23" s="126"/>
      <c r="C23" s="126"/>
      <c r="D23" s="127"/>
      <c r="E23" s="54" t="str">
        <f>IF(Interfaces[[#This Row],[Interface ID
Free text]]&lt;&gt;"", J23, "")</f>
        <v/>
      </c>
      <c r="F23" s="54" t="str">
        <f>IF(Interfaces[[#This Row],[Interface ID
Free text]]&lt;&gt;"", K23, "")</f>
        <v/>
      </c>
      <c r="G23" s="126"/>
      <c r="H23" s="532"/>
      <c r="J23" s="500" t="str">
        <v/>
      </c>
      <c r="K23" s="481" t="str">
        <v/>
      </c>
      <c r="L23" s="481" t="str">
        <v/>
      </c>
      <c r="M23" s="501"/>
    </row>
    <row r="24" spans="1:13" x14ac:dyDescent="0.3">
      <c r="A24" s="533"/>
      <c r="B24" s="126"/>
      <c r="C24" s="126"/>
      <c r="D24" s="127"/>
      <c r="E24" s="54" t="str">
        <f>IF(Interfaces[[#This Row],[Interface ID
Free text]]&lt;&gt;"", J24, "")</f>
        <v/>
      </c>
      <c r="F24" s="54" t="str">
        <f>IF(Interfaces[[#This Row],[Interface ID
Free text]]&lt;&gt;"", K24, "")</f>
        <v/>
      </c>
      <c r="G24" s="126"/>
      <c r="H24" s="532"/>
      <c r="J24" s="500" t="str">
        <v/>
      </c>
      <c r="K24" s="481" t="str">
        <v/>
      </c>
      <c r="L24" s="481" t="str">
        <v/>
      </c>
      <c r="M24" s="501"/>
    </row>
    <row r="25" spans="1:13" x14ac:dyDescent="0.3">
      <c r="A25" s="533"/>
      <c r="B25" s="126"/>
      <c r="C25" s="126"/>
      <c r="D25" s="127"/>
      <c r="E25" s="54" t="str">
        <f>IF(Interfaces[[#This Row],[Interface ID
Free text]]&lt;&gt;"", J25, "")</f>
        <v/>
      </c>
      <c r="F25" s="54" t="str">
        <f>IF(Interfaces[[#This Row],[Interface ID
Free text]]&lt;&gt;"", K25, "")</f>
        <v/>
      </c>
      <c r="G25" s="126"/>
      <c r="H25" s="532"/>
      <c r="J25" s="500" t="str">
        <v/>
      </c>
      <c r="K25" s="481" t="str">
        <v/>
      </c>
      <c r="L25" s="481" t="str">
        <v/>
      </c>
      <c r="M25" s="501"/>
    </row>
    <row r="26" spans="1:13" x14ac:dyDescent="0.3">
      <c r="A26" s="533"/>
      <c r="B26" s="126"/>
      <c r="C26" s="126"/>
      <c r="D26" s="127"/>
      <c r="E26" s="54" t="str">
        <f>IF(Interfaces[[#This Row],[Interface ID
Free text]]&lt;&gt;"", J26, "")</f>
        <v/>
      </c>
      <c r="F26" s="54" t="str">
        <f>IF(Interfaces[[#This Row],[Interface ID
Free text]]&lt;&gt;"", K26, "")</f>
        <v/>
      </c>
      <c r="G26" s="126"/>
      <c r="H26" s="532"/>
      <c r="J26" s="500" t="str">
        <v/>
      </c>
      <c r="K26" s="481" t="str">
        <v/>
      </c>
      <c r="L26" s="481" t="str">
        <v/>
      </c>
      <c r="M26" s="501"/>
    </row>
    <row r="27" spans="1:13" x14ac:dyDescent="0.3">
      <c r="A27" s="533"/>
      <c r="B27" s="126"/>
      <c r="C27" s="126"/>
      <c r="D27" s="127"/>
      <c r="E27" s="54" t="str">
        <f>IF(Interfaces[[#This Row],[Interface ID
Free text]]&lt;&gt;"", J27, "")</f>
        <v/>
      </c>
      <c r="F27" s="54" t="str">
        <f>IF(Interfaces[[#This Row],[Interface ID
Free text]]&lt;&gt;"", K27, "")</f>
        <v/>
      </c>
      <c r="G27" s="126"/>
      <c r="H27" s="532"/>
      <c r="J27" s="500" t="str">
        <v/>
      </c>
      <c r="K27" s="481" t="str">
        <v/>
      </c>
      <c r="L27" s="481" t="str">
        <v/>
      </c>
      <c r="M27" s="501"/>
    </row>
    <row r="28" spans="1:13" x14ac:dyDescent="0.3">
      <c r="A28" s="533"/>
      <c r="B28" s="126"/>
      <c r="C28" s="126"/>
      <c r="D28" s="127"/>
      <c r="E28" s="54" t="str">
        <f>IF(Interfaces[[#This Row],[Interface ID
Free text]]&lt;&gt;"", J28, "")</f>
        <v/>
      </c>
      <c r="F28" s="54" t="str">
        <f>IF(Interfaces[[#This Row],[Interface ID
Free text]]&lt;&gt;"", K28, "")</f>
        <v/>
      </c>
      <c r="G28" s="126"/>
      <c r="H28" s="532"/>
      <c r="J28" s="500" t="str">
        <v/>
      </c>
      <c r="K28" s="481" t="str">
        <v/>
      </c>
      <c r="L28" s="481" t="str">
        <v/>
      </c>
      <c r="M28" s="501"/>
    </row>
    <row r="29" spans="1:13" x14ac:dyDescent="0.3">
      <c r="A29" s="533"/>
      <c r="B29" s="126"/>
      <c r="C29" s="126"/>
      <c r="D29" s="127"/>
      <c r="E29" s="54" t="str">
        <f>IF(Interfaces[[#This Row],[Interface ID
Free text]]&lt;&gt;"", J29, "")</f>
        <v/>
      </c>
      <c r="F29" s="54" t="str">
        <f>IF(Interfaces[[#This Row],[Interface ID
Free text]]&lt;&gt;"", K29, "")</f>
        <v/>
      </c>
      <c r="G29" s="126"/>
      <c r="H29" s="532"/>
      <c r="J29" s="500" t="str">
        <v/>
      </c>
      <c r="K29" s="481" t="str">
        <v/>
      </c>
      <c r="L29" s="481" t="str">
        <v/>
      </c>
      <c r="M29" s="501"/>
    </row>
    <row r="30" spans="1:13" x14ac:dyDescent="0.3">
      <c r="A30" s="533"/>
      <c r="B30" s="126"/>
      <c r="C30" s="126"/>
      <c r="D30" s="127"/>
      <c r="E30" s="54" t="str">
        <f>IF(Interfaces[[#This Row],[Interface ID
Free text]]&lt;&gt;"", J30, "")</f>
        <v/>
      </c>
      <c r="F30" s="54" t="str">
        <f>IF(Interfaces[[#This Row],[Interface ID
Free text]]&lt;&gt;"", K30, "")</f>
        <v/>
      </c>
      <c r="G30" s="126"/>
      <c r="H30" s="532"/>
      <c r="J30" s="500" t="str">
        <v/>
      </c>
      <c r="K30" s="481" t="str">
        <v/>
      </c>
      <c r="L30" s="481" t="str">
        <v/>
      </c>
      <c r="M30" s="501"/>
    </row>
    <row r="31" spans="1:13" x14ac:dyDescent="0.3">
      <c r="A31" s="533"/>
      <c r="B31" s="126"/>
      <c r="C31" s="126"/>
      <c r="D31" s="127"/>
      <c r="E31" s="54" t="str">
        <f>IF(Interfaces[[#This Row],[Interface ID
Free text]]&lt;&gt;"", J31, "")</f>
        <v/>
      </c>
      <c r="F31" s="54" t="str">
        <f>IF(Interfaces[[#This Row],[Interface ID
Free text]]&lt;&gt;"", K31, "")</f>
        <v/>
      </c>
      <c r="G31" s="126"/>
      <c r="H31" s="532"/>
      <c r="J31" s="500" t="str">
        <v/>
      </c>
      <c r="K31" s="481" t="str">
        <v/>
      </c>
      <c r="L31" s="481" t="str">
        <v/>
      </c>
      <c r="M31" s="501"/>
    </row>
    <row r="32" spans="1:13" x14ac:dyDescent="0.3">
      <c r="A32" s="533"/>
      <c r="B32" s="126"/>
      <c r="C32" s="126"/>
      <c r="D32" s="127"/>
      <c r="E32" s="54" t="str">
        <f>IF(Interfaces[[#This Row],[Interface ID
Free text]]&lt;&gt;"", J32, "")</f>
        <v/>
      </c>
      <c r="F32" s="54" t="str">
        <f>IF(Interfaces[[#This Row],[Interface ID
Free text]]&lt;&gt;"", K32, "")</f>
        <v/>
      </c>
      <c r="G32" s="126"/>
      <c r="H32" s="532"/>
      <c r="J32" s="500" t="str">
        <v/>
      </c>
      <c r="K32" s="481" t="str">
        <v/>
      </c>
      <c r="L32" s="481" t="str">
        <v/>
      </c>
      <c r="M32" s="501"/>
    </row>
    <row r="33" spans="1:13" x14ac:dyDescent="0.3">
      <c r="A33" s="533"/>
      <c r="B33" s="126"/>
      <c r="C33" s="126"/>
      <c r="D33" s="127"/>
      <c r="E33" s="54" t="str">
        <f>IF(Interfaces[[#This Row],[Interface ID
Free text]]&lt;&gt;"", J33, "")</f>
        <v/>
      </c>
      <c r="F33" s="54" t="str">
        <f>IF(Interfaces[[#This Row],[Interface ID
Free text]]&lt;&gt;"", K33, "")</f>
        <v/>
      </c>
      <c r="G33" s="126"/>
      <c r="H33" s="532"/>
      <c r="J33" s="500" t="str">
        <v/>
      </c>
      <c r="K33" s="481" t="str">
        <v/>
      </c>
      <c r="L33" s="481" t="str">
        <v/>
      </c>
      <c r="M33" s="501"/>
    </row>
    <row r="34" spans="1:13" x14ac:dyDescent="0.3">
      <c r="A34" s="533"/>
      <c r="B34" s="126"/>
      <c r="C34" s="126"/>
      <c r="D34" s="127"/>
      <c r="E34" s="54" t="str">
        <f>IF(Interfaces[[#This Row],[Interface ID
Free text]]&lt;&gt;"", J34, "")</f>
        <v/>
      </c>
      <c r="F34" s="54" t="str">
        <f>IF(Interfaces[[#This Row],[Interface ID
Free text]]&lt;&gt;"", K34, "")</f>
        <v/>
      </c>
      <c r="G34" s="126"/>
      <c r="H34" s="532"/>
      <c r="J34" s="500" t="str">
        <v/>
      </c>
      <c r="K34" s="481" t="str">
        <v/>
      </c>
      <c r="L34" s="481" t="str">
        <v/>
      </c>
      <c r="M34" s="501"/>
    </row>
    <row r="35" spans="1:13" x14ac:dyDescent="0.3">
      <c r="A35" s="533"/>
      <c r="B35" s="126"/>
      <c r="C35" s="126"/>
      <c r="D35" s="127"/>
      <c r="E35" s="54" t="str">
        <f>IF(Interfaces[[#This Row],[Interface ID
Free text]]&lt;&gt;"", J35, "")</f>
        <v/>
      </c>
      <c r="F35" s="54" t="str">
        <f>IF(Interfaces[[#This Row],[Interface ID
Free text]]&lt;&gt;"", K35, "")</f>
        <v/>
      </c>
      <c r="G35" s="126"/>
      <c r="H35" s="532"/>
      <c r="J35" s="500" t="str">
        <v/>
      </c>
      <c r="K35" s="481" t="str">
        <v/>
      </c>
      <c r="L35" s="481" t="str">
        <v/>
      </c>
      <c r="M35" s="501"/>
    </row>
    <row r="36" spans="1:13" x14ac:dyDescent="0.3">
      <c r="A36" s="533"/>
      <c r="B36" s="126"/>
      <c r="C36" s="126"/>
      <c r="D36" s="127"/>
      <c r="E36" s="54" t="str">
        <f>IF(Interfaces[[#This Row],[Interface ID
Free text]]&lt;&gt;"", J36, "")</f>
        <v/>
      </c>
      <c r="F36" s="54" t="str">
        <f>IF(Interfaces[[#This Row],[Interface ID
Free text]]&lt;&gt;"", K36, "")</f>
        <v/>
      </c>
      <c r="G36" s="126"/>
      <c r="H36" s="532"/>
      <c r="J36" s="500" t="str">
        <v/>
      </c>
      <c r="K36" s="481" t="str">
        <v/>
      </c>
      <c r="L36" s="481" t="str">
        <v/>
      </c>
      <c r="M36" s="501"/>
    </row>
    <row r="37" spans="1:13" x14ac:dyDescent="0.3">
      <c r="A37" s="533"/>
      <c r="B37" s="126"/>
      <c r="C37" s="126"/>
      <c r="D37" s="127"/>
      <c r="E37" s="54" t="str">
        <f>IF(Interfaces[[#This Row],[Interface ID
Free text]]&lt;&gt;"", J37, "")</f>
        <v/>
      </c>
      <c r="F37" s="54" t="str">
        <f>IF(Interfaces[[#This Row],[Interface ID
Free text]]&lt;&gt;"", K37, "")</f>
        <v/>
      </c>
      <c r="G37" s="126"/>
      <c r="H37" s="532"/>
      <c r="J37" s="500" t="str">
        <v/>
      </c>
      <c r="K37" s="481" t="str">
        <v/>
      </c>
      <c r="L37" s="481" t="str">
        <v/>
      </c>
      <c r="M37" s="501"/>
    </row>
    <row r="38" spans="1:13" x14ac:dyDescent="0.3">
      <c r="A38" s="533"/>
      <c r="B38" s="126"/>
      <c r="C38" s="126"/>
      <c r="D38" s="127"/>
      <c r="E38" s="54" t="str">
        <f>IF(Interfaces[[#This Row],[Interface ID
Free text]]&lt;&gt;"", J38, "")</f>
        <v/>
      </c>
      <c r="F38" s="54" t="str">
        <f>IF(Interfaces[[#This Row],[Interface ID
Free text]]&lt;&gt;"", K38, "")</f>
        <v/>
      </c>
      <c r="G38" s="126"/>
      <c r="H38" s="532"/>
      <c r="J38" s="500" t="str">
        <v/>
      </c>
      <c r="K38" s="481" t="str">
        <v/>
      </c>
      <c r="L38" s="481" t="str">
        <v/>
      </c>
      <c r="M38" s="501"/>
    </row>
    <row r="39" spans="1:13" x14ac:dyDescent="0.3">
      <c r="A39" s="533"/>
      <c r="B39" s="126"/>
      <c r="C39" s="126"/>
      <c r="D39" s="127"/>
      <c r="E39" s="54" t="str">
        <f>IF(Interfaces[[#This Row],[Interface ID
Free text]]&lt;&gt;"", J39, "")</f>
        <v/>
      </c>
      <c r="F39" s="54" t="str">
        <f>IF(Interfaces[[#This Row],[Interface ID
Free text]]&lt;&gt;"", K39, "")</f>
        <v/>
      </c>
      <c r="G39" s="126"/>
      <c r="H39" s="532"/>
      <c r="J39" s="500" t="str">
        <v/>
      </c>
      <c r="K39" s="481" t="str">
        <v/>
      </c>
      <c r="L39" s="481" t="str">
        <v/>
      </c>
      <c r="M39" s="501"/>
    </row>
    <row r="40" spans="1:13" x14ac:dyDescent="0.3">
      <c r="A40" s="533"/>
      <c r="B40" s="126"/>
      <c r="C40" s="126"/>
      <c r="D40" s="127"/>
      <c r="E40" s="54" t="str">
        <f>IF(Interfaces[[#This Row],[Interface ID
Free text]]&lt;&gt;"", J40, "")</f>
        <v/>
      </c>
      <c r="F40" s="54" t="str">
        <f>IF(Interfaces[[#This Row],[Interface ID
Free text]]&lt;&gt;"", K40, "")</f>
        <v/>
      </c>
      <c r="G40" s="126"/>
      <c r="H40" s="532"/>
      <c r="J40" s="500" t="str">
        <v/>
      </c>
      <c r="K40" s="481" t="str">
        <v/>
      </c>
      <c r="L40" s="481" t="str">
        <v/>
      </c>
      <c r="M40" s="501"/>
    </row>
    <row r="41" spans="1:13" x14ac:dyDescent="0.3">
      <c r="A41" s="533"/>
      <c r="B41" s="126"/>
      <c r="C41" s="126"/>
      <c r="D41" s="127"/>
      <c r="E41" s="54" t="str">
        <f>IF(Interfaces[[#This Row],[Interface ID
Free text]]&lt;&gt;"", J41, "")</f>
        <v/>
      </c>
      <c r="F41" s="54" t="str">
        <f>IF(Interfaces[[#This Row],[Interface ID
Free text]]&lt;&gt;"", K41, "")</f>
        <v/>
      </c>
      <c r="G41" s="126"/>
      <c r="H41" s="532"/>
      <c r="J41" s="500" t="str">
        <v/>
      </c>
      <c r="K41" s="481" t="str">
        <v/>
      </c>
      <c r="L41" s="481" t="str">
        <v/>
      </c>
      <c r="M41" s="501"/>
    </row>
    <row r="42" spans="1:13" x14ac:dyDescent="0.3">
      <c r="A42" s="533"/>
      <c r="B42" s="126"/>
      <c r="C42" s="126"/>
      <c r="D42" s="127"/>
      <c r="E42" s="54" t="str">
        <f>IF(Interfaces[[#This Row],[Interface ID
Free text]]&lt;&gt;"", J42, "")</f>
        <v/>
      </c>
      <c r="F42" s="54" t="str">
        <f>IF(Interfaces[[#This Row],[Interface ID
Free text]]&lt;&gt;"", K42, "")</f>
        <v/>
      </c>
      <c r="G42" s="126"/>
      <c r="H42" s="532"/>
      <c r="J42" s="500" t="str">
        <v/>
      </c>
      <c r="K42" s="481" t="str">
        <v/>
      </c>
      <c r="L42" s="481" t="str">
        <v/>
      </c>
      <c r="M42" s="501"/>
    </row>
    <row r="43" spans="1:13" x14ac:dyDescent="0.3">
      <c r="A43" s="533"/>
      <c r="B43" s="126"/>
      <c r="C43" s="126"/>
      <c r="D43" s="127"/>
      <c r="E43" s="54" t="str">
        <f>IF(Interfaces[[#This Row],[Interface ID
Free text]]&lt;&gt;"", J43, "")</f>
        <v/>
      </c>
      <c r="F43" s="54" t="str">
        <f>IF(Interfaces[[#This Row],[Interface ID
Free text]]&lt;&gt;"", K43, "")</f>
        <v/>
      </c>
      <c r="G43" s="126"/>
      <c r="H43" s="532"/>
      <c r="J43" s="500" t="str">
        <v/>
      </c>
      <c r="K43" s="481" t="str">
        <v/>
      </c>
      <c r="L43" s="481" t="str">
        <v/>
      </c>
      <c r="M43" s="501"/>
    </row>
    <row r="44" spans="1:13" x14ac:dyDescent="0.3">
      <c r="A44" s="533"/>
      <c r="B44" s="126"/>
      <c r="C44" s="126"/>
      <c r="D44" s="127"/>
      <c r="E44" s="54" t="str">
        <f>IF(Interfaces[[#This Row],[Interface ID
Free text]]&lt;&gt;"", J44, "")</f>
        <v/>
      </c>
      <c r="F44" s="54" t="str">
        <f>IF(Interfaces[[#This Row],[Interface ID
Free text]]&lt;&gt;"", K44, "")</f>
        <v/>
      </c>
      <c r="G44" s="126"/>
      <c r="H44" s="532"/>
      <c r="J44" s="500" t="str">
        <v/>
      </c>
      <c r="K44" s="481" t="str">
        <v/>
      </c>
      <c r="L44" s="481" t="str">
        <v/>
      </c>
      <c r="M44" s="501"/>
    </row>
    <row r="45" spans="1:13" x14ac:dyDescent="0.3">
      <c r="A45" s="533"/>
      <c r="B45" s="126"/>
      <c r="C45" s="126"/>
      <c r="D45" s="127"/>
      <c r="E45" s="54" t="str">
        <f>IF(Interfaces[[#This Row],[Interface ID
Free text]]&lt;&gt;"", J45, "")</f>
        <v/>
      </c>
      <c r="F45" s="54" t="str">
        <f>IF(Interfaces[[#This Row],[Interface ID
Free text]]&lt;&gt;"", K45, "")</f>
        <v/>
      </c>
      <c r="G45" s="126"/>
      <c r="H45" s="532"/>
      <c r="J45" s="500" t="str">
        <v/>
      </c>
      <c r="K45" s="481" t="str">
        <v/>
      </c>
      <c r="L45" s="481" t="str">
        <v/>
      </c>
      <c r="M45" s="501"/>
    </row>
    <row r="46" spans="1:13" x14ac:dyDescent="0.3">
      <c r="A46" s="533"/>
      <c r="B46" s="126"/>
      <c r="C46" s="126"/>
      <c r="D46" s="127"/>
      <c r="E46" s="54" t="str">
        <f>IF(Interfaces[[#This Row],[Interface ID
Free text]]&lt;&gt;"", J46, "")</f>
        <v/>
      </c>
      <c r="F46" s="54" t="str">
        <f>IF(Interfaces[[#This Row],[Interface ID
Free text]]&lt;&gt;"", K46, "")</f>
        <v/>
      </c>
      <c r="G46" s="126"/>
      <c r="H46" s="532"/>
      <c r="J46" s="500" t="str">
        <v/>
      </c>
      <c r="K46" s="481" t="str">
        <v/>
      </c>
      <c r="L46" s="481" t="str">
        <v/>
      </c>
      <c r="M46" s="501"/>
    </row>
    <row r="47" spans="1:13" x14ac:dyDescent="0.3">
      <c r="A47" s="533"/>
      <c r="B47" s="126"/>
      <c r="C47" s="126"/>
      <c r="D47" s="127"/>
      <c r="E47" s="54" t="str">
        <f>IF(Interfaces[[#This Row],[Interface ID
Free text]]&lt;&gt;"", J47, "")</f>
        <v/>
      </c>
      <c r="F47" s="54" t="str">
        <f>IF(Interfaces[[#This Row],[Interface ID
Free text]]&lt;&gt;"", K47, "")</f>
        <v/>
      </c>
      <c r="G47" s="126"/>
      <c r="H47" s="532"/>
      <c r="J47" s="500" t="str">
        <v/>
      </c>
      <c r="K47" s="481" t="str">
        <v/>
      </c>
      <c r="L47" s="481" t="str">
        <v/>
      </c>
      <c r="M47" s="501"/>
    </row>
    <row r="48" spans="1:13" x14ac:dyDescent="0.3">
      <c r="A48" s="533"/>
      <c r="B48" s="126"/>
      <c r="C48" s="126"/>
      <c r="D48" s="127"/>
      <c r="E48" s="54" t="str">
        <f>IF(Interfaces[[#This Row],[Interface ID
Free text]]&lt;&gt;"", J48, "")</f>
        <v/>
      </c>
      <c r="F48" s="54" t="str">
        <f>IF(Interfaces[[#This Row],[Interface ID
Free text]]&lt;&gt;"", K48, "")</f>
        <v/>
      </c>
      <c r="G48" s="126"/>
      <c r="H48" s="532"/>
      <c r="J48" s="500" t="str">
        <v/>
      </c>
      <c r="K48" s="481" t="str">
        <v/>
      </c>
      <c r="L48" s="481" t="str">
        <v/>
      </c>
      <c r="M48" s="501"/>
    </row>
    <row r="49" spans="1:13" x14ac:dyDescent="0.3">
      <c r="A49" s="533"/>
      <c r="B49" s="126"/>
      <c r="C49" s="126"/>
      <c r="D49" s="127"/>
      <c r="E49" s="54" t="str">
        <f>IF(Interfaces[[#This Row],[Interface ID
Free text]]&lt;&gt;"", J49, "")</f>
        <v/>
      </c>
      <c r="F49" s="54" t="str">
        <f>IF(Interfaces[[#This Row],[Interface ID
Free text]]&lt;&gt;"", K49, "")</f>
        <v/>
      </c>
      <c r="G49" s="126"/>
      <c r="H49" s="532"/>
      <c r="J49" s="500" t="str">
        <v/>
      </c>
      <c r="K49" s="481" t="str">
        <v/>
      </c>
      <c r="L49" s="481" t="str">
        <v/>
      </c>
      <c r="M49" s="501"/>
    </row>
    <row r="50" spans="1:13" ht="17.25" thickBot="1" x14ac:dyDescent="0.35">
      <c r="A50" s="534"/>
      <c r="B50" s="535"/>
      <c r="C50" s="535"/>
      <c r="D50" s="536"/>
      <c r="E50" s="537" t="str">
        <f>IF(Interfaces[[#This Row],[Interface ID
Free text]]&lt;&gt;"", J50, "")</f>
        <v/>
      </c>
      <c r="F50" s="537" t="str">
        <f>IF(Interfaces[[#This Row],[Interface ID
Free text]]&lt;&gt;"", K50, "")</f>
        <v/>
      </c>
      <c r="G50" s="535"/>
      <c r="H50" s="538"/>
      <c r="J50" s="502" t="str">
        <v/>
      </c>
      <c r="K50" s="491" t="str">
        <v/>
      </c>
      <c r="L50" s="491" t="str">
        <v/>
      </c>
      <c r="M50" s="503"/>
    </row>
  </sheetData>
  <sheetProtection algorithmName="SHA-512" hashValue="9j3tKG7GMf7HlLEpXOPtoDb7zvAa9B1IRctDrU3w1Usko02mZ1XzFkn1Lnh/ACG5uu9W4P77iH+ovpDtBt5dmg==" saltValue="RL1vI60F9Zg1ievAurf0ug==" spinCount="100000" sheet="1" objects="1" scenarios="1" formatCells="0" formatColumns="0" formatRows="0" sort="0"/>
  <protectedRanges>
    <protectedRange sqref="G1:H50" name="Interfaces_2"/>
    <protectedRange sqref="A2:D50" name="Interfaces_1"/>
  </protectedRanges>
  <phoneticPr fontId="7" type="noConversion"/>
  <dataValidations count="3">
    <dataValidation type="list" allowBlank="1" showInputMessage="1" showErrorMessage="1" sqref="C2:C50" xr:uid="{80BC4AA4-D0EB-40D7-BC8C-3A9DD251937C}">
      <formula1>"Network,User,Machine"</formula1>
    </dataValidation>
    <dataValidation type="list" allowBlank="1" showInputMessage="1" showErrorMessage="1" sqref="D2:D50" xr:uid="{EA1740D8-D60C-4A6E-A61F-9C1670FC9BE9}">
      <formula1>"N/A,Radio,Wired,Optical,Acoustic"</formula1>
    </dataValidation>
    <dataValidation type="list" allowBlank="1" showInputMessage="1" showErrorMessage="1" sqref="G2:I50" xr:uid="{0D74B4A1-164E-40A6-80DC-85A271D3AA96}">
      <formula1>"Yes,No"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BA4A0-57FD-48B8-8793-FC2990C18628}">
  <sheetPr>
    <tabColor theme="2" tint="0.79998168889431442"/>
    <pageSetUpPr autoPageBreaks="0"/>
  </sheetPr>
  <dimension ref="A1:I50"/>
  <sheetViews>
    <sheetView zoomScaleNormal="100" workbookViewId="0">
      <selection activeCell="A2" sqref="A2"/>
    </sheetView>
  </sheetViews>
  <sheetFormatPr defaultRowHeight="16.5" x14ac:dyDescent="0.3"/>
  <cols>
    <col min="1" max="1" width="20.75" customWidth="1"/>
    <col min="2" max="2" width="31.5" customWidth="1"/>
    <col min="3" max="3" width="20.75" customWidth="1"/>
    <col min="4" max="6" width="35.75" customWidth="1"/>
    <col min="8" max="8" width="20.75" customWidth="1"/>
    <col min="9" max="9" width="19.25" customWidth="1"/>
  </cols>
  <sheetData>
    <row r="1" spans="1:9" s="269" customFormat="1" ht="66.75" thickBot="1" x14ac:dyDescent="0.35">
      <c r="A1" s="508" t="s">
        <v>92</v>
      </c>
      <c r="B1" s="509" t="s">
        <v>84</v>
      </c>
      <c r="C1" s="509" t="s">
        <v>93</v>
      </c>
      <c r="D1" s="509" t="s">
        <v>96</v>
      </c>
      <c r="E1" s="511" t="s">
        <v>94</v>
      </c>
      <c r="F1" s="512" t="s">
        <v>95</v>
      </c>
      <c r="H1" s="496" t="s">
        <v>124</v>
      </c>
      <c r="I1" s="499" t="s">
        <v>125</v>
      </c>
    </row>
    <row r="2" spans="1:9" ht="49.5" x14ac:dyDescent="0.3">
      <c r="A2" s="513"/>
      <c r="B2" s="514"/>
      <c r="C2" s="515"/>
      <c r="D2" s="515"/>
      <c r="E2" s="516" t="str">
        <f t="shared" ref="E2:E33" si="0">H2</f>
        <v/>
      </c>
      <c r="F2" s="517" t="str">
        <f t="shared" ref="F2:F33" si="1">I2</f>
        <v/>
      </c>
      <c r="H2" s="483" t="str" cm="1">
        <f t="array" ref="H2:H50">TRANSPOSE(Mapping_Assets_Entities!C4:AY4)</f>
        <v/>
      </c>
      <c r="I2" s="486" t="str" cm="1">
        <f t="array" ref="I2:I50">TRANSPOSE(Mapping_Entities_Interfaces!C3:AY3)</f>
        <v/>
      </c>
    </row>
    <row r="3" spans="1:9" ht="33" x14ac:dyDescent="0.3">
      <c r="A3" s="518"/>
      <c r="B3" s="19"/>
      <c r="C3" s="506"/>
      <c r="D3" s="506"/>
      <c r="E3" s="507" t="str">
        <f t="shared" si="0"/>
        <v/>
      </c>
      <c r="F3" s="519" t="str">
        <f t="shared" si="1"/>
        <v/>
      </c>
      <c r="H3" s="487" t="str">
        <v/>
      </c>
      <c r="I3" s="504" t="str">
        <v/>
      </c>
    </row>
    <row r="4" spans="1:9" ht="33" x14ac:dyDescent="0.3">
      <c r="A4" s="518"/>
      <c r="B4" s="19"/>
      <c r="C4" s="506"/>
      <c r="D4" s="506"/>
      <c r="E4" s="507" t="str">
        <f t="shared" si="0"/>
        <v/>
      </c>
      <c r="F4" s="519" t="str">
        <f t="shared" si="1"/>
        <v/>
      </c>
      <c r="H4" s="487" t="str">
        <v/>
      </c>
      <c r="I4" s="504" t="str">
        <v/>
      </c>
    </row>
    <row r="5" spans="1:9" x14ac:dyDescent="0.3">
      <c r="A5" s="518"/>
      <c r="B5" s="19"/>
      <c r="C5" s="506"/>
      <c r="D5" s="506"/>
      <c r="E5" s="507" t="str">
        <f t="shared" si="0"/>
        <v/>
      </c>
      <c r="F5" s="519" t="str">
        <f t="shared" si="1"/>
        <v/>
      </c>
      <c r="H5" s="487" t="str">
        <v/>
      </c>
      <c r="I5" s="504" t="str">
        <v/>
      </c>
    </row>
    <row r="6" spans="1:9" x14ac:dyDescent="0.3">
      <c r="A6" s="518"/>
      <c r="B6" s="19"/>
      <c r="C6" s="506"/>
      <c r="D6" s="506"/>
      <c r="E6" s="507" t="str">
        <f t="shared" si="0"/>
        <v/>
      </c>
      <c r="F6" s="519" t="str">
        <f t="shared" si="1"/>
        <v/>
      </c>
      <c r="H6" s="489" t="str">
        <v/>
      </c>
      <c r="I6" s="504" t="str">
        <v/>
      </c>
    </row>
    <row r="7" spans="1:9" x14ac:dyDescent="0.3">
      <c r="A7" s="518"/>
      <c r="B7" s="19"/>
      <c r="C7" s="506"/>
      <c r="D7" s="506"/>
      <c r="E7" s="507" t="str">
        <f t="shared" si="0"/>
        <v/>
      </c>
      <c r="F7" s="519" t="str">
        <f t="shared" si="1"/>
        <v/>
      </c>
      <c r="H7" s="489" t="str">
        <v/>
      </c>
      <c r="I7" s="504" t="str">
        <v/>
      </c>
    </row>
    <row r="8" spans="1:9" x14ac:dyDescent="0.3">
      <c r="A8" s="518"/>
      <c r="B8" s="19"/>
      <c r="C8" s="506"/>
      <c r="D8" s="506"/>
      <c r="E8" s="507" t="str">
        <f t="shared" si="0"/>
        <v/>
      </c>
      <c r="F8" s="519" t="str">
        <f t="shared" si="1"/>
        <v/>
      </c>
      <c r="H8" s="489" t="str">
        <v/>
      </c>
      <c r="I8" s="504" t="str">
        <v/>
      </c>
    </row>
    <row r="9" spans="1:9" x14ac:dyDescent="0.3">
      <c r="A9" s="518"/>
      <c r="B9" s="19"/>
      <c r="C9" s="506"/>
      <c r="D9" s="506"/>
      <c r="E9" s="507" t="str">
        <f t="shared" si="0"/>
        <v/>
      </c>
      <c r="F9" s="519" t="str">
        <f t="shared" si="1"/>
        <v/>
      </c>
      <c r="H9" s="489" t="str">
        <v/>
      </c>
      <c r="I9" s="504" t="str">
        <v/>
      </c>
    </row>
    <row r="10" spans="1:9" x14ac:dyDescent="0.3">
      <c r="A10" s="518"/>
      <c r="B10" s="19"/>
      <c r="C10" s="506"/>
      <c r="D10" s="506"/>
      <c r="E10" s="507" t="str">
        <f t="shared" si="0"/>
        <v/>
      </c>
      <c r="F10" s="519" t="str">
        <f t="shared" si="1"/>
        <v/>
      </c>
      <c r="H10" s="489" t="str">
        <v/>
      </c>
      <c r="I10" s="504" t="str">
        <v/>
      </c>
    </row>
    <row r="11" spans="1:9" x14ac:dyDescent="0.3">
      <c r="A11" s="518"/>
      <c r="B11" s="19"/>
      <c r="C11" s="506"/>
      <c r="D11" s="506"/>
      <c r="E11" s="507" t="str">
        <f t="shared" si="0"/>
        <v/>
      </c>
      <c r="F11" s="519" t="str">
        <f t="shared" si="1"/>
        <v/>
      </c>
      <c r="H11" s="489" t="str">
        <v/>
      </c>
      <c r="I11" s="504" t="str">
        <v/>
      </c>
    </row>
    <row r="12" spans="1:9" x14ac:dyDescent="0.3">
      <c r="A12" s="518"/>
      <c r="B12" s="19"/>
      <c r="C12" s="506"/>
      <c r="D12" s="506"/>
      <c r="E12" s="507" t="str">
        <f t="shared" si="0"/>
        <v/>
      </c>
      <c r="F12" s="519" t="str">
        <f t="shared" si="1"/>
        <v/>
      </c>
      <c r="H12" s="489" t="str">
        <v/>
      </c>
      <c r="I12" s="504" t="str">
        <v/>
      </c>
    </row>
    <row r="13" spans="1:9" x14ac:dyDescent="0.3">
      <c r="A13" s="518"/>
      <c r="B13" s="19"/>
      <c r="C13" s="506"/>
      <c r="D13" s="506"/>
      <c r="E13" s="507" t="str">
        <f t="shared" si="0"/>
        <v/>
      </c>
      <c r="F13" s="519" t="str">
        <f t="shared" si="1"/>
        <v/>
      </c>
      <c r="H13" s="489" t="str">
        <v/>
      </c>
      <c r="I13" s="504" t="str">
        <v/>
      </c>
    </row>
    <row r="14" spans="1:9" x14ac:dyDescent="0.3">
      <c r="A14" s="518"/>
      <c r="B14" s="19"/>
      <c r="C14" s="506"/>
      <c r="D14" s="506"/>
      <c r="E14" s="507" t="str">
        <f t="shared" si="0"/>
        <v/>
      </c>
      <c r="F14" s="519" t="str">
        <f t="shared" si="1"/>
        <v/>
      </c>
      <c r="H14" s="489" t="str">
        <v/>
      </c>
      <c r="I14" s="504" t="str">
        <v/>
      </c>
    </row>
    <row r="15" spans="1:9" x14ac:dyDescent="0.3">
      <c r="A15" s="518"/>
      <c r="B15" s="19"/>
      <c r="C15" s="506"/>
      <c r="D15" s="506"/>
      <c r="E15" s="507" t="str">
        <f t="shared" si="0"/>
        <v/>
      </c>
      <c r="F15" s="519" t="str">
        <f t="shared" si="1"/>
        <v/>
      </c>
      <c r="H15" s="489" t="str">
        <v/>
      </c>
      <c r="I15" s="504" t="str">
        <v/>
      </c>
    </row>
    <row r="16" spans="1:9" x14ac:dyDescent="0.3">
      <c r="A16" s="518"/>
      <c r="B16" s="19"/>
      <c r="C16" s="506"/>
      <c r="D16" s="506"/>
      <c r="E16" s="507" t="str">
        <f t="shared" si="0"/>
        <v/>
      </c>
      <c r="F16" s="519" t="str">
        <f t="shared" si="1"/>
        <v/>
      </c>
      <c r="H16" s="489" t="str">
        <v/>
      </c>
      <c r="I16" s="504" t="str">
        <v/>
      </c>
    </row>
    <row r="17" spans="1:9" x14ac:dyDescent="0.3">
      <c r="A17" s="518"/>
      <c r="B17" s="19"/>
      <c r="C17" s="506"/>
      <c r="D17" s="506"/>
      <c r="E17" s="507" t="str">
        <f t="shared" si="0"/>
        <v/>
      </c>
      <c r="F17" s="519" t="str">
        <f t="shared" si="1"/>
        <v/>
      </c>
      <c r="H17" s="489" t="str">
        <v/>
      </c>
      <c r="I17" s="504" t="str">
        <v/>
      </c>
    </row>
    <row r="18" spans="1:9" x14ac:dyDescent="0.3">
      <c r="A18" s="518"/>
      <c r="B18" s="19"/>
      <c r="C18" s="506"/>
      <c r="D18" s="506"/>
      <c r="E18" s="507" t="str">
        <f t="shared" si="0"/>
        <v/>
      </c>
      <c r="F18" s="519" t="str">
        <f t="shared" si="1"/>
        <v/>
      </c>
      <c r="H18" s="489" t="str">
        <v/>
      </c>
      <c r="I18" s="504" t="str">
        <v/>
      </c>
    </row>
    <row r="19" spans="1:9" x14ac:dyDescent="0.3">
      <c r="A19" s="518"/>
      <c r="B19" s="19"/>
      <c r="C19" s="506"/>
      <c r="D19" s="506"/>
      <c r="E19" s="507" t="str">
        <f t="shared" si="0"/>
        <v/>
      </c>
      <c r="F19" s="519" t="str">
        <f t="shared" si="1"/>
        <v/>
      </c>
      <c r="H19" s="489" t="str">
        <v/>
      </c>
      <c r="I19" s="504" t="str">
        <v/>
      </c>
    </row>
    <row r="20" spans="1:9" x14ac:dyDescent="0.3">
      <c r="A20" s="518"/>
      <c r="B20" s="19"/>
      <c r="C20" s="506"/>
      <c r="D20" s="506"/>
      <c r="E20" s="507" t="str">
        <f t="shared" si="0"/>
        <v/>
      </c>
      <c r="F20" s="519" t="str">
        <f t="shared" si="1"/>
        <v/>
      </c>
      <c r="H20" s="489" t="str">
        <v/>
      </c>
      <c r="I20" s="504" t="str">
        <v/>
      </c>
    </row>
    <row r="21" spans="1:9" x14ac:dyDescent="0.3">
      <c r="A21" s="518"/>
      <c r="B21" s="19"/>
      <c r="C21" s="506"/>
      <c r="D21" s="506"/>
      <c r="E21" s="507" t="str">
        <f t="shared" si="0"/>
        <v/>
      </c>
      <c r="F21" s="519" t="str">
        <f t="shared" si="1"/>
        <v/>
      </c>
      <c r="H21" s="489" t="str">
        <v/>
      </c>
      <c r="I21" s="504" t="str">
        <v/>
      </c>
    </row>
    <row r="22" spans="1:9" x14ac:dyDescent="0.3">
      <c r="A22" s="518"/>
      <c r="B22" s="19"/>
      <c r="C22" s="506"/>
      <c r="D22" s="506"/>
      <c r="E22" s="507" t="str">
        <f t="shared" si="0"/>
        <v/>
      </c>
      <c r="F22" s="519" t="str">
        <f t="shared" si="1"/>
        <v/>
      </c>
      <c r="H22" s="489" t="str">
        <v/>
      </c>
      <c r="I22" s="504" t="str">
        <v/>
      </c>
    </row>
    <row r="23" spans="1:9" x14ac:dyDescent="0.3">
      <c r="A23" s="518"/>
      <c r="B23" s="19"/>
      <c r="C23" s="506"/>
      <c r="D23" s="506"/>
      <c r="E23" s="507" t="str">
        <f t="shared" si="0"/>
        <v/>
      </c>
      <c r="F23" s="519" t="str">
        <f t="shared" si="1"/>
        <v/>
      </c>
      <c r="H23" s="489" t="str">
        <v/>
      </c>
      <c r="I23" s="504" t="str">
        <v/>
      </c>
    </row>
    <row r="24" spans="1:9" x14ac:dyDescent="0.3">
      <c r="A24" s="518"/>
      <c r="B24" s="19"/>
      <c r="C24" s="506"/>
      <c r="D24" s="506"/>
      <c r="E24" s="507" t="str">
        <f t="shared" si="0"/>
        <v/>
      </c>
      <c r="F24" s="519" t="str">
        <f t="shared" si="1"/>
        <v/>
      </c>
      <c r="H24" s="489" t="str">
        <v/>
      </c>
      <c r="I24" s="504" t="str">
        <v/>
      </c>
    </row>
    <row r="25" spans="1:9" x14ac:dyDescent="0.3">
      <c r="A25" s="518"/>
      <c r="B25" s="19"/>
      <c r="C25" s="506"/>
      <c r="D25" s="506"/>
      <c r="E25" s="507" t="str">
        <f t="shared" si="0"/>
        <v/>
      </c>
      <c r="F25" s="519" t="str">
        <f t="shared" si="1"/>
        <v/>
      </c>
      <c r="H25" s="489" t="str">
        <v/>
      </c>
      <c r="I25" s="504" t="str">
        <v/>
      </c>
    </row>
    <row r="26" spans="1:9" x14ac:dyDescent="0.3">
      <c r="A26" s="518"/>
      <c r="B26" s="19"/>
      <c r="C26" s="506"/>
      <c r="D26" s="506"/>
      <c r="E26" s="507" t="str">
        <f t="shared" si="0"/>
        <v/>
      </c>
      <c r="F26" s="519" t="str">
        <f t="shared" si="1"/>
        <v/>
      </c>
      <c r="H26" s="489" t="str">
        <v/>
      </c>
      <c r="I26" s="504" t="str">
        <v/>
      </c>
    </row>
    <row r="27" spans="1:9" x14ac:dyDescent="0.3">
      <c r="A27" s="518"/>
      <c r="B27" s="19"/>
      <c r="C27" s="506"/>
      <c r="D27" s="506"/>
      <c r="E27" s="507" t="str">
        <f t="shared" si="0"/>
        <v/>
      </c>
      <c r="F27" s="519" t="str">
        <f t="shared" si="1"/>
        <v/>
      </c>
      <c r="H27" s="489" t="str">
        <v/>
      </c>
      <c r="I27" s="504" t="str">
        <v/>
      </c>
    </row>
    <row r="28" spans="1:9" x14ac:dyDescent="0.3">
      <c r="A28" s="518"/>
      <c r="B28" s="19"/>
      <c r="C28" s="506"/>
      <c r="D28" s="506"/>
      <c r="E28" s="507" t="str">
        <f t="shared" si="0"/>
        <v/>
      </c>
      <c r="F28" s="519" t="str">
        <f t="shared" si="1"/>
        <v/>
      </c>
      <c r="H28" s="489" t="str">
        <v/>
      </c>
      <c r="I28" s="504" t="str">
        <v/>
      </c>
    </row>
    <row r="29" spans="1:9" x14ac:dyDescent="0.3">
      <c r="A29" s="518"/>
      <c r="B29" s="19"/>
      <c r="C29" s="506"/>
      <c r="D29" s="506"/>
      <c r="E29" s="507" t="str">
        <f t="shared" si="0"/>
        <v/>
      </c>
      <c r="F29" s="519" t="str">
        <f t="shared" si="1"/>
        <v/>
      </c>
      <c r="H29" s="489" t="str">
        <v/>
      </c>
      <c r="I29" s="504" t="str">
        <v/>
      </c>
    </row>
    <row r="30" spans="1:9" x14ac:dyDescent="0.3">
      <c r="A30" s="518"/>
      <c r="B30" s="19"/>
      <c r="C30" s="506"/>
      <c r="D30" s="506"/>
      <c r="E30" s="507" t="str">
        <f t="shared" si="0"/>
        <v/>
      </c>
      <c r="F30" s="519" t="str">
        <f t="shared" si="1"/>
        <v/>
      </c>
      <c r="H30" s="489" t="str">
        <v/>
      </c>
      <c r="I30" s="504" t="str">
        <v/>
      </c>
    </row>
    <row r="31" spans="1:9" x14ac:dyDescent="0.3">
      <c r="A31" s="518"/>
      <c r="B31" s="19"/>
      <c r="C31" s="506"/>
      <c r="D31" s="506"/>
      <c r="E31" s="507" t="str">
        <f t="shared" si="0"/>
        <v/>
      </c>
      <c r="F31" s="519" t="str">
        <f t="shared" si="1"/>
        <v/>
      </c>
      <c r="H31" s="489" t="str">
        <v/>
      </c>
      <c r="I31" s="504" t="str">
        <v/>
      </c>
    </row>
    <row r="32" spans="1:9" x14ac:dyDescent="0.3">
      <c r="A32" s="518"/>
      <c r="B32" s="19"/>
      <c r="C32" s="506"/>
      <c r="D32" s="506"/>
      <c r="E32" s="507" t="str">
        <f t="shared" si="0"/>
        <v/>
      </c>
      <c r="F32" s="519" t="str">
        <f t="shared" si="1"/>
        <v/>
      </c>
      <c r="H32" s="489" t="str">
        <v/>
      </c>
      <c r="I32" s="504" t="str">
        <v/>
      </c>
    </row>
    <row r="33" spans="1:9" x14ac:dyDescent="0.3">
      <c r="A33" s="518"/>
      <c r="B33" s="19"/>
      <c r="C33" s="506"/>
      <c r="D33" s="506"/>
      <c r="E33" s="507" t="str">
        <f t="shared" si="0"/>
        <v/>
      </c>
      <c r="F33" s="519" t="str">
        <f t="shared" si="1"/>
        <v/>
      </c>
      <c r="H33" s="489" t="str">
        <v/>
      </c>
      <c r="I33" s="504" t="str">
        <v/>
      </c>
    </row>
    <row r="34" spans="1:9" x14ac:dyDescent="0.3">
      <c r="A34" s="518"/>
      <c r="B34" s="19"/>
      <c r="C34" s="506"/>
      <c r="D34" s="506"/>
      <c r="E34" s="507" t="str">
        <f t="shared" ref="E34:E50" si="2">H34</f>
        <v/>
      </c>
      <c r="F34" s="519" t="str">
        <f t="shared" ref="F34:F50" si="3">I34</f>
        <v/>
      </c>
      <c r="H34" s="489" t="str">
        <v/>
      </c>
      <c r="I34" s="504" t="str">
        <v/>
      </c>
    </row>
    <row r="35" spans="1:9" x14ac:dyDescent="0.3">
      <c r="A35" s="518"/>
      <c r="B35" s="19"/>
      <c r="C35" s="506"/>
      <c r="D35" s="506"/>
      <c r="E35" s="507" t="str">
        <f t="shared" si="2"/>
        <v/>
      </c>
      <c r="F35" s="519" t="str">
        <f t="shared" si="3"/>
        <v/>
      </c>
      <c r="H35" s="489" t="str">
        <v/>
      </c>
      <c r="I35" s="504" t="str">
        <v/>
      </c>
    </row>
    <row r="36" spans="1:9" x14ac:dyDescent="0.3">
      <c r="A36" s="518"/>
      <c r="B36" s="19"/>
      <c r="C36" s="506"/>
      <c r="D36" s="506"/>
      <c r="E36" s="507" t="str">
        <f t="shared" si="2"/>
        <v/>
      </c>
      <c r="F36" s="519" t="str">
        <f t="shared" si="3"/>
        <v/>
      </c>
      <c r="H36" s="489" t="str">
        <v/>
      </c>
      <c r="I36" s="504" t="str">
        <v/>
      </c>
    </row>
    <row r="37" spans="1:9" x14ac:dyDescent="0.3">
      <c r="A37" s="518"/>
      <c r="B37" s="19"/>
      <c r="C37" s="506"/>
      <c r="D37" s="506"/>
      <c r="E37" s="507" t="str">
        <f t="shared" si="2"/>
        <v/>
      </c>
      <c r="F37" s="519" t="str">
        <f t="shared" si="3"/>
        <v/>
      </c>
      <c r="H37" s="489" t="str">
        <v/>
      </c>
      <c r="I37" s="504" t="str">
        <v/>
      </c>
    </row>
    <row r="38" spans="1:9" x14ac:dyDescent="0.3">
      <c r="A38" s="518"/>
      <c r="B38" s="19"/>
      <c r="C38" s="506"/>
      <c r="D38" s="506"/>
      <c r="E38" s="507" t="str">
        <f t="shared" si="2"/>
        <v/>
      </c>
      <c r="F38" s="519" t="str">
        <f t="shared" si="3"/>
        <v/>
      </c>
      <c r="H38" s="489" t="str">
        <v/>
      </c>
      <c r="I38" s="504" t="str">
        <v/>
      </c>
    </row>
    <row r="39" spans="1:9" x14ac:dyDescent="0.3">
      <c r="A39" s="518"/>
      <c r="B39" s="19"/>
      <c r="C39" s="506"/>
      <c r="D39" s="506"/>
      <c r="E39" s="507" t="str">
        <f t="shared" si="2"/>
        <v/>
      </c>
      <c r="F39" s="519" t="str">
        <f t="shared" si="3"/>
        <v/>
      </c>
      <c r="H39" s="489" t="str">
        <v/>
      </c>
      <c r="I39" s="504" t="str">
        <v/>
      </c>
    </row>
    <row r="40" spans="1:9" x14ac:dyDescent="0.3">
      <c r="A40" s="518"/>
      <c r="B40" s="19"/>
      <c r="C40" s="506"/>
      <c r="D40" s="506"/>
      <c r="E40" s="507" t="str">
        <f t="shared" si="2"/>
        <v/>
      </c>
      <c r="F40" s="519" t="str">
        <f t="shared" si="3"/>
        <v/>
      </c>
      <c r="H40" s="489" t="str">
        <v/>
      </c>
      <c r="I40" s="504" t="str">
        <v/>
      </c>
    </row>
    <row r="41" spans="1:9" x14ac:dyDescent="0.3">
      <c r="A41" s="518"/>
      <c r="B41" s="19"/>
      <c r="C41" s="506"/>
      <c r="D41" s="506"/>
      <c r="E41" s="507" t="str">
        <f t="shared" si="2"/>
        <v/>
      </c>
      <c r="F41" s="519" t="str">
        <f t="shared" si="3"/>
        <v/>
      </c>
      <c r="H41" s="489" t="str">
        <v/>
      </c>
      <c r="I41" s="504" t="str">
        <v/>
      </c>
    </row>
    <row r="42" spans="1:9" x14ac:dyDescent="0.3">
      <c r="A42" s="518"/>
      <c r="B42" s="19"/>
      <c r="C42" s="506"/>
      <c r="D42" s="506"/>
      <c r="E42" s="507" t="str">
        <f t="shared" si="2"/>
        <v/>
      </c>
      <c r="F42" s="519" t="str">
        <f t="shared" si="3"/>
        <v/>
      </c>
      <c r="H42" s="489" t="str">
        <v/>
      </c>
      <c r="I42" s="504" t="str">
        <v/>
      </c>
    </row>
    <row r="43" spans="1:9" x14ac:dyDescent="0.3">
      <c r="A43" s="518"/>
      <c r="B43" s="19"/>
      <c r="C43" s="506"/>
      <c r="D43" s="506"/>
      <c r="E43" s="507" t="str">
        <f t="shared" si="2"/>
        <v/>
      </c>
      <c r="F43" s="519" t="str">
        <f t="shared" si="3"/>
        <v/>
      </c>
      <c r="H43" s="489" t="str">
        <v/>
      </c>
      <c r="I43" s="504" t="str">
        <v/>
      </c>
    </row>
    <row r="44" spans="1:9" x14ac:dyDescent="0.3">
      <c r="A44" s="518"/>
      <c r="B44" s="19"/>
      <c r="C44" s="506"/>
      <c r="D44" s="506"/>
      <c r="E44" s="507" t="str">
        <f t="shared" si="2"/>
        <v/>
      </c>
      <c r="F44" s="519" t="str">
        <f t="shared" si="3"/>
        <v/>
      </c>
      <c r="H44" s="489" t="str">
        <v/>
      </c>
      <c r="I44" s="504" t="str">
        <v/>
      </c>
    </row>
    <row r="45" spans="1:9" x14ac:dyDescent="0.3">
      <c r="A45" s="518"/>
      <c r="B45" s="19"/>
      <c r="C45" s="506"/>
      <c r="D45" s="506"/>
      <c r="E45" s="507" t="str">
        <f t="shared" si="2"/>
        <v/>
      </c>
      <c r="F45" s="519" t="str">
        <f t="shared" si="3"/>
        <v/>
      </c>
      <c r="H45" s="489" t="str">
        <v/>
      </c>
      <c r="I45" s="504" t="str">
        <v/>
      </c>
    </row>
    <row r="46" spans="1:9" x14ac:dyDescent="0.3">
      <c r="A46" s="518"/>
      <c r="B46" s="19"/>
      <c r="C46" s="506"/>
      <c r="D46" s="506"/>
      <c r="E46" s="507" t="str">
        <f t="shared" si="2"/>
        <v/>
      </c>
      <c r="F46" s="519" t="str">
        <f t="shared" si="3"/>
        <v/>
      </c>
      <c r="H46" s="489" t="str">
        <v/>
      </c>
      <c r="I46" s="504" t="str">
        <v/>
      </c>
    </row>
    <row r="47" spans="1:9" x14ac:dyDescent="0.3">
      <c r="A47" s="518"/>
      <c r="B47" s="19"/>
      <c r="C47" s="506"/>
      <c r="D47" s="506"/>
      <c r="E47" s="507" t="str">
        <f t="shared" si="2"/>
        <v/>
      </c>
      <c r="F47" s="519" t="str">
        <f t="shared" si="3"/>
        <v/>
      </c>
      <c r="H47" s="489" t="str">
        <v/>
      </c>
      <c r="I47" s="504" t="str">
        <v/>
      </c>
    </row>
    <row r="48" spans="1:9" x14ac:dyDescent="0.3">
      <c r="A48" s="518"/>
      <c r="B48" s="19"/>
      <c r="C48" s="506"/>
      <c r="D48" s="506"/>
      <c r="E48" s="507" t="str">
        <f t="shared" si="2"/>
        <v/>
      </c>
      <c r="F48" s="519" t="str">
        <f t="shared" si="3"/>
        <v/>
      </c>
      <c r="H48" s="489" t="str">
        <v/>
      </c>
      <c r="I48" s="504" t="str">
        <v/>
      </c>
    </row>
    <row r="49" spans="1:9" x14ac:dyDescent="0.3">
      <c r="A49" s="518"/>
      <c r="B49" s="19"/>
      <c r="C49" s="506"/>
      <c r="D49" s="506"/>
      <c r="E49" s="507" t="str">
        <f t="shared" si="2"/>
        <v/>
      </c>
      <c r="F49" s="519" t="str">
        <f t="shared" si="3"/>
        <v/>
      </c>
      <c r="H49" s="489" t="str">
        <v/>
      </c>
      <c r="I49" s="504" t="str">
        <v/>
      </c>
    </row>
    <row r="50" spans="1:9" ht="17.25" thickBot="1" x14ac:dyDescent="0.35">
      <c r="A50" s="520"/>
      <c r="B50" s="521"/>
      <c r="C50" s="522"/>
      <c r="D50" s="522"/>
      <c r="E50" s="523" t="str">
        <f t="shared" si="2"/>
        <v/>
      </c>
      <c r="F50" s="524" t="str">
        <f t="shared" si="3"/>
        <v/>
      </c>
      <c r="H50" s="490" t="str">
        <v/>
      </c>
      <c r="I50" s="505" t="str">
        <v/>
      </c>
    </row>
  </sheetData>
  <sheetProtection algorithmName="SHA-512" hashValue="QE8ovvVlzctZ5OIeD6AQIP8zRW4lHed/4J+/fBctLLH4z3lGDqoudESe9+r1B9jE8PfxF5EyBOHx6iciOgUmow==" saltValue="XqurCCaiymLguIb8yiYe5w==" spinCount="100000" sheet="1" objects="1" scenarios="1" formatCells="0" formatColumns="0" formatRows="0" sort="0"/>
  <protectedRanges>
    <protectedRange sqref="A2:F50" name="Entities"/>
  </protectedRanges>
  <dataValidations count="2">
    <dataValidation type="list" allowBlank="1" showInputMessage="1" showErrorMessage="1" sqref="D2:D50" xr:uid="{CA633C86-F409-4D82-8994-4728102698FA}">
      <formula1>"Yes,No"</formula1>
    </dataValidation>
    <dataValidation type="list" allowBlank="1" showInputMessage="1" showErrorMessage="1" sqref="C2:C50" xr:uid="{F935B402-F200-4245-9830-2FC6D5796394}">
      <formula1>"User,Service,Device,The equipment itself"</formula1>
    </dataValidation>
  </dataValidation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07D0F-CE49-4B01-B5CA-E1939DD07E58}">
  <sheetPr>
    <tabColor theme="8" tint="0.79998168889431442"/>
    <pageSetUpPr autoPageBreaks="0"/>
  </sheetPr>
  <dimension ref="A1:AY54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20.625" defaultRowHeight="16.5" x14ac:dyDescent="0.3"/>
  <cols>
    <col min="1" max="1" width="23.875" customWidth="1"/>
  </cols>
  <sheetData>
    <row r="1" spans="1:51" ht="23.25" customHeight="1" thickBot="1" x14ac:dyDescent="0.35">
      <c r="A1" s="554" t="s">
        <v>432</v>
      </c>
    </row>
    <row r="2" spans="1:51" s="53" customFormat="1" x14ac:dyDescent="0.3">
      <c r="A2" s="64" t="s">
        <v>117</v>
      </c>
      <c r="B2" s="60" t="s">
        <v>118</v>
      </c>
      <c r="C2" s="61" t="str" cm="1">
        <f t="array" ref="C2:AY2">IF(TRANSPOSE(Interfaces[Interface ID
Free text])=0, "", TRANSPOSE(Interfaces[Interface ID
Free text]))</f>
        <v/>
      </c>
      <c r="D2" s="62" t="str">
        <v/>
      </c>
      <c r="E2" s="62" t="str">
        <v/>
      </c>
      <c r="F2" s="62" t="str">
        <v/>
      </c>
      <c r="G2" s="62" t="str">
        <v/>
      </c>
      <c r="H2" s="62" t="str">
        <v/>
      </c>
      <c r="I2" s="62" t="str">
        <v/>
      </c>
      <c r="J2" s="62" t="str">
        <v/>
      </c>
      <c r="K2" s="62" t="str">
        <v/>
      </c>
      <c r="L2" s="62" t="str">
        <v/>
      </c>
      <c r="M2" s="62" t="str">
        <v/>
      </c>
      <c r="N2" s="62" t="str">
        <v/>
      </c>
      <c r="O2" s="62" t="str">
        <v/>
      </c>
      <c r="P2" s="62" t="str">
        <v/>
      </c>
      <c r="Q2" s="62" t="str">
        <v/>
      </c>
      <c r="R2" s="62" t="str">
        <v/>
      </c>
      <c r="S2" s="62" t="str">
        <v/>
      </c>
      <c r="T2" s="62" t="str">
        <v/>
      </c>
      <c r="U2" s="62" t="str">
        <v/>
      </c>
      <c r="V2" s="62" t="str">
        <v/>
      </c>
      <c r="W2" s="62" t="str">
        <v/>
      </c>
      <c r="X2" s="62" t="str">
        <v/>
      </c>
      <c r="Y2" s="62" t="str">
        <v/>
      </c>
      <c r="Z2" s="62" t="str">
        <v/>
      </c>
      <c r="AA2" s="62" t="str">
        <v/>
      </c>
      <c r="AB2" s="62" t="str">
        <v/>
      </c>
      <c r="AC2" s="62" t="str">
        <v/>
      </c>
      <c r="AD2" s="62" t="str">
        <v/>
      </c>
      <c r="AE2" s="62" t="str">
        <v/>
      </c>
      <c r="AF2" s="62" t="str">
        <v/>
      </c>
      <c r="AG2" s="62" t="str">
        <v/>
      </c>
      <c r="AH2" s="62" t="str">
        <v/>
      </c>
      <c r="AI2" s="62" t="str">
        <v/>
      </c>
      <c r="AJ2" s="62" t="str">
        <v/>
      </c>
      <c r="AK2" s="62" t="str">
        <v/>
      </c>
      <c r="AL2" s="62" t="str">
        <v/>
      </c>
      <c r="AM2" s="62" t="str">
        <v/>
      </c>
      <c r="AN2" s="62" t="str">
        <v/>
      </c>
      <c r="AO2" s="62" t="str">
        <v/>
      </c>
      <c r="AP2" s="62" t="str">
        <v/>
      </c>
      <c r="AQ2" s="62" t="str">
        <v/>
      </c>
      <c r="AR2" s="62" t="str">
        <v/>
      </c>
      <c r="AS2" s="62" t="str">
        <v/>
      </c>
      <c r="AT2" s="62" t="str">
        <v/>
      </c>
      <c r="AU2" s="62" t="str">
        <v/>
      </c>
      <c r="AV2" s="62" t="str">
        <v/>
      </c>
      <c r="AW2" s="62" t="str">
        <v/>
      </c>
      <c r="AX2" s="62" t="str">
        <v/>
      </c>
      <c r="AY2" s="63" t="str">
        <v/>
      </c>
    </row>
    <row r="3" spans="1:51" s="53" customFormat="1" x14ac:dyDescent="0.3">
      <c r="A3" s="65" t="s">
        <v>433</v>
      </c>
      <c r="B3" s="59" t="s">
        <v>179</v>
      </c>
      <c r="C3" s="58" t="str" cm="1">
        <f t="array" ref="C3:AY3">IF(TRANSPOSE(Interfaces[Interface ID
Free text])=0, "", TRANSPOSE(Interfaces[Type of interface
Dropdown menu]))</f>
        <v/>
      </c>
      <c r="D3" s="76" t="str">
        <v/>
      </c>
      <c r="E3" s="76" t="str">
        <v/>
      </c>
      <c r="F3" s="76" t="str">
        <v/>
      </c>
      <c r="G3" s="76" t="str">
        <v/>
      </c>
      <c r="H3" s="76" t="str">
        <v/>
      </c>
      <c r="I3" s="76" t="str">
        <v/>
      </c>
      <c r="J3" s="76" t="str">
        <v/>
      </c>
      <c r="K3" s="76" t="str">
        <v/>
      </c>
      <c r="L3" s="76" t="str">
        <v/>
      </c>
      <c r="M3" s="76" t="str">
        <v/>
      </c>
      <c r="N3" s="76" t="str">
        <v/>
      </c>
      <c r="O3" s="76" t="str">
        <v/>
      </c>
      <c r="P3" s="76" t="str">
        <v/>
      </c>
      <c r="Q3" s="76" t="str">
        <v/>
      </c>
      <c r="R3" s="76" t="str">
        <v/>
      </c>
      <c r="S3" s="76" t="str">
        <v/>
      </c>
      <c r="T3" s="76" t="str">
        <v/>
      </c>
      <c r="U3" s="76" t="str">
        <v/>
      </c>
      <c r="V3" s="76" t="str">
        <v/>
      </c>
      <c r="W3" s="76" t="str">
        <v/>
      </c>
      <c r="X3" s="76" t="str">
        <v/>
      </c>
      <c r="Y3" s="76" t="str">
        <v/>
      </c>
      <c r="Z3" s="76" t="str">
        <v/>
      </c>
      <c r="AA3" s="76" t="str">
        <v/>
      </c>
      <c r="AB3" s="76" t="str">
        <v/>
      </c>
      <c r="AC3" s="76" t="str">
        <v/>
      </c>
      <c r="AD3" s="76" t="str">
        <v/>
      </c>
      <c r="AE3" s="76" t="str">
        <v/>
      </c>
      <c r="AF3" s="76" t="str">
        <v/>
      </c>
      <c r="AG3" s="76" t="str">
        <v/>
      </c>
      <c r="AH3" s="76" t="str">
        <v/>
      </c>
      <c r="AI3" s="76" t="str">
        <v/>
      </c>
      <c r="AJ3" s="76" t="str">
        <v/>
      </c>
      <c r="AK3" s="76" t="str">
        <v/>
      </c>
      <c r="AL3" s="76" t="str">
        <v/>
      </c>
      <c r="AM3" s="76" t="str">
        <v/>
      </c>
      <c r="AN3" s="76" t="str">
        <v/>
      </c>
      <c r="AO3" s="76" t="str">
        <v/>
      </c>
      <c r="AP3" s="76" t="str">
        <v/>
      </c>
      <c r="AQ3" s="76" t="str">
        <v/>
      </c>
      <c r="AR3" s="76" t="str">
        <v/>
      </c>
      <c r="AS3" s="76" t="str">
        <v/>
      </c>
      <c r="AT3" s="76" t="str">
        <v/>
      </c>
      <c r="AU3" s="76" t="str">
        <v/>
      </c>
      <c r="AV3" s="76" t="str">
        <v/>
      </c>
      <c r="AW3" s="76" t="str">
        <v/>
      </c>
      <c r="AX3" s="76" t="str">
        <v/>
      </c>
      <c r="AY3" s="80" t="str">
        <v/>
      </c>
    </row>
    <row r="4" spans="1:51" s="53" customFormat="1" ht="40.5" customHeight="1" x14ac:dyDescent="0.3">
      <c r="A4" s="65"/>
      <c r="B4" s="59" t="s">
        <v>126</v>
      </c>
      <c r="C4" s="58" t="str" cm="1">
        <f t="array" ref="C4">IF(C2="", "", _xlfn.TEXTJOIN(", "&amp;CHAR(10), TRUE, _xlfn.UNIQUE((IF(C6:C54&lt;&gt;"", IF(_xlfn.ANCHORARRAY($A6)=Assets[Asset ID
Free text], Assets[Type of asset
Dropdown menu], ""),"")))))</f>
        <v/>
      </c>
      <c r="D4" s="76" t="str" cm="1">
        <f t="array" ref="D4">IF(D2="", "", _xlfn.TEXTJOIN(", "&amp;CHAR(10), TRUE, _xlfn.UNIQUE((IF(D6:D54&lt;&gt;"", IF(_xlfn.ANCHORARRAY($A6)=Assets[Asset ID
Free text], Assets[Type of asset
Dropdown menu], ""),"")))))</f>
        <v/>
      </c>
      <c r="E4" s="76" t="str" cm="1">
        <f t="array" ref="E4">IF(E2="", "", _xlfn.TEXTJOIN(", "&amp;CHAR(10), TRUE, _xlfn.UNIQUE((IF(E6:E54&lt;&gt;"", IF(_xlfn.ANCHORARRAY($A6)=Assets[Asset ID
Free text], Assets[Type of asset
Dropdown menu], ""),"")))))</f>
        <v/>
      </c>
      <c r="F4" s="76" t="str" cm="1">
        <f t="array" ref="F4">IF(F2="", "", _xlfn.TEXTJOIN(", "&amp;CHAR(10), TRUE, _xlfn.UNIQUE((IF(F6:F54&lt;&gt;"", IF(_xlfn.ANCHORARRAY($A6)=Assets[Asset ID
Free text], Assets[Type of asset
Dropdown menu], ""),"")))))</f>
        <v/>
      </c>
      <c r="G4" s="76" t="str" cm="1">
        <f t="array" ref="G4">IF(G2="", "", _xlfn.TEXTJOIN(", "&amp;CHAR(10), TRUE, _xlfn.UNIQUE((IF(G6:G54&lt;&gt;"", IF(_xlfn.ANCHORARRAY($A6)=Assets[Asset ID
Free text], Assets[Type of asset
Dropdown menu], ""),"")))))</f>
        <v/>
      </c>
      <c r="H4" s="76" t="str" cm="1">
        <f t="array" ref="H4">IF(H2="", "", _xlfn.TEXTJOIN(", "&amp;CHAR(10), TRUE, _xlfn.UNIQUE((IF(H6:H54&lt;&gt;"", IF(_xlfn.ANCHORARRAY($A6)=Assets[Asset ID
Free text], Assets[Type of asset
Dropdown menu], ""),"")))))</f>
        <v/>
      </c>
      <c r="I4" s="76" t="str" cm="1">
        <f t="array" ref="I4">IF(I2="", "", _xlfn.TEXTJOIN(", "&amp;CHAR(10), TRUE, _xlfn.UNIQUE((IF(I6:I54&lt;&gt;"", IF(_xlfn.ANCHORARRAY($A6)=Assets[Asset ID
Free text], Assets[Type of asset
Dropdown menu], ""),"")))))</f>
        <v/>
      </c>
      <c r="J4" s="76" t="str" cm="1">
        <f t="array" ref="J4">IF(J2="", "", _xlfn.TEXTJOIN(", "&amp;CHAR(10), TRUE, _xlfn.UNIQUE((IF(J6:J54&lt;&gt;"", IF(_xlfn.ANCHORARRAY($A6)=Assets[Asset ID
Free text], Assets[Type of asset
Dropdown menu], ""),"")))))</f>
        <v/>
      </c>
      <c r="K4" s="76" t="str" cm="1">
        <f t="array" ref="K4">IF(K2="", "", _xlfn.TEXTJOIN(", "&amp;CHAR(10), TRUE, _xlfn.UNIQUE((IF(K6:K54&lt;&gt;"", IF(_xlfn.ANCHORARRAY($A6)=Assets[Asset ID
Free text], Assets[Type of asset
Dropdown menu], ""),"")))))</f>
        <v/>
      </c>
      <c r="L4" s="76" t="str" cm="1">
        <f t="array" ref="L4">IF(L2="", "", _xlfn.TEXTJOIN(", "&amp;CHAR(10), TRUE, _xlfn.UNIQUE((IF(L6:L54&lt;&gt;"", IF(_xlfn.ANCHORARRAY($A6)=Assets[Asset ID
Free text], Assets[Type of asset
Dropdown menu], ""),"")))))</f>
        <v/>
      </c>
      <c r="M4" s="76" t="str" cm="1">
        <f t="array" ref="M4">IF(M2="", "", _xlfn.TEXTJOIN(", "&amp;CHAR(10), TRUE, _xlfn.UNIQUE((IF(M6:M54&lt;&gt;"", IF(_xlfn.ANCHORARRAY($A6)=Assets[Asset ID
Free text], Assets[Type of asset
Dropdown menu], ""),"")))))</f>
        <v/>
      </c>
      <c r="N4" s="76" t="str" cm="1">
        <f t="array" ref="N4">IF(N2="", "", _xlfn.TEXTJOIN(", "&amp;CHAR(10), TRUE, _xlfn.UNIQUE((IF(N6:N54&lt;&gt;"", IF(_xlfn.ANCHORARRAY($A6)=Assets[Asset ID
Free text], Assets[Type of asset
Dropdown menu], ""),"")))))</f>
        <v/>
      </c>
      <c r="O4" s="76" t="str" cm="1">
        <f t="array" ref="O4">IF(O2="", "", _xlfn.TEXTJOIN(", "&amp;CHAR(10), TRUE, _xlfn.UNIQUE((IF(O6:O54&lt;&gt;"", IF(_xlfn.ANCHORARRAY($A6)=Assets[Asset ID
Free text], Assets[Type of asset
Dropdown menu], ""),"")))))</f>
        <v/>
      </c>
      <c r="P4" s="76" t="str" cm="1">
        <f t="array" ref="P4">IF(P2="", "", _xlfn.TEXTJOIN(", "&amp;CHAR(10), TRUE, _xlfn.UNIQUE((IF(P6:P54&lt;&gt;"", IF(_xlfn.ANCHORARRAY($A6)=Assets[Asset ID
Free text], Assets[Type of asset
Dropdown menu], ""),"")))))</f>
        <v/>
      </c>
      <c r="Q4" s="76" t="str" cm="1">
        <f t="array" ref="Q4">IF(Q2="", "", _xlfn.TEXTJOIN(", "&amp;CHAR(10), TRUE, _xlfn.UNIQUE((IF(Q6:Q54&lt;&gt;"", IF(_xlfn.ANCHORARRAY($A6)=Assets[Asset ID
Free text], Assets[Type of asset
Dropdown menu], ""),"")))))</f>
        <v/>
      </c>
      <c r="R4" s="76" t="str" cm="1">
        <f t="array" ref="R4">IF(R2="", "", _xlfn.TEXTJOIN(", "&amp;CHAR(10), TRUE, _xlfn.UNIQUE((IF(R6:R54&lt;&gt;"", IF(_xlfn.ANCHORARRAY($A6)=Assets[Asset ID
Free text], Assets[Type of asset
Dropdown menu], ""),"")))))</f>
        <v/>
      </c>
      <c r="S4" s="76" t="str" cm="1">
        <f t="array" ref="S4">IF(S2="", "", _xlfn.TEXTJOIN(", "&amp;CHAR(10), TRUE, _xlfn.UNIQUE((IF(S6:S54&lt;&gt;"", IF(_xlfn.ANCHORARRAY($A6)=Assets[Asset ID
Free text], Assets[Type of asset
Dropdown menu], ""),"")))))</f>
        <v/>
      </c>
      <c r="T4" s="76" t="str" cm="1">
        <f t="array" ref="T4">IF(T2="", "", _xlfn.TEXTJOIN(", "&amp;CHAR(10), TRUE, _xlfn.UNIQUE((IF(T6:T54&lt;&gt;"", IF(_xlfn.ANCHORARRAY($A6)=Assets[Asset ID
Free text], Assets[Type of asset
Dropdown menu], ""),"")))))</f>
        <v/>
      </c>
      <c r="U4" s="76" t="str" cm="1">
        <f t="array" ref="U4">IF(U2="", "", _xlfn.TEXTJOIN(", "&amp;CHAR(10), TRUE, _xlfn.UNIQUE((IF(U6:U54&lt;&gt;"", IF(_xlfn.ANCHORARRAY($A6)=Assets[Asset ID
Free text], Assets[Type of asset
Dropdown menu], ""),"")))))</f>
        <v/>
      </c>
      <c r="V4" s="76" t="str" cm="1">
        <f t="array" ref="V4">IF(V2="", "", _xlfn.TEXTJOIN(", "&amp;CHAR(10), TRUE, _xlfn.UNIQUE((IF(V6:V54&lt;&gt;"", IF(_xlfn.ANCHORARRAY($A6)=Assets[Asset ID
Free text], Assets[Type of asset
Dropdown menu], ""),"")))))</f>
        <v/>
      </c>
      <c r="W4" s="76" t="str" cm="1">
        <f t="array" ref="W4">IF(W2="", "", _xlfn.TEXTJOIN(", "&amp;CHAR(10), TRUE, _xlfn.UNIQUE((IF(W6:W54&lt;&gt;"", IF(_xlfn.ANCHORARRAY($A6)=Assets[Asset ID
Free text], Assets[Type of asset
Dropdown menu], ""),"")))))</f>
        <v/>
      </c>
      <c r="X4" s="76" t="str" cm="1">
        <f t="array" ref="X4">IF(X2="", "", _xlfn.TEXTJOIN(", "&amp;CHAR(10), TRUE, _xlfn.UNIQUE((IF(X6:X54&lt;&gt;"", IF(_xlfn.ANCHORARRAY($A6)=Assets[Asset ID
Free text], Assets[Type of asset
Dropdown menu], ""),"")))))</f>
        <v/>
      </c>
      <c r="Y4" s="76" t="str" cm="1">
        <f t="array" ref="Y4">IF(Y2="", "", _xlfn.TEXTJOIN(", "&amp;CHAR(10), TRUE, _xlfn.UNIQUE((IF(Y6:Y54&lt;&gt;"", IF(_xlfn.ANCHORARRAY($A6)=Assets[Asset ID
Free text], Assets[Type of asset
Dropdown menu], ""),"")))))</f>
        <v/>
      </c>
      <c r="Z4" s="76" t="str" cm="1">
        <f t="array" ref="Z4">IF(Z2="", "", _xlfn.TEXTJOIN(", "&amp;CHAR(10), TRUE, _xlfn.UNIQUE((IF(Z6:Z54&lt;&gt;"", IF(_xlfn.ANCHORARRAY($A6)=Assets[Asset ID
Free text], Assets[Type of asset
Dropdown menu], ""),"")))))</f>
        <v/>
      </c>
      <c r="AA4" s="76" t="str" cm="1">
        <f t="array" ref="AA4">IF(AA2="", "", _xlfn.TEXTJOIN(", "&amp;CHAR(10), TRUE, _xlfn.UNIQUE((IF(AA6:AA54&lt;&gt;"", IF(_xlfn.ANCHORARRAY($A6)=Assets[Asset ID
Free text], Assets[Type of asset
Dropdown menu], ""),"")))))</f>
        <v/>
      </c>
      <c r="AB4" s="76" t="str" cm="1">
        <f t="array" ref="AB4">IF(AB2="", "", _xlfn.TEXTJOIN(", "&amp;CHAR(10), TRUE, _xlfn.UNIQUE((IF(AB6:AB54&lt;&gt;"", IF(_xlfn.ANCHORARRAY($A6)=Assets[Asset ID
Free text], Assets[Type of asset
Dropdown menu], ""),"")))))</f>
        <v/>
      </c>
      <c r="AC4" s="76" t="str" cm="1">
        <f t="array" ref="AC4">IF(AC2="", "", _xlfn.TEXTJOIN(", "&amp;CHAR(10), TRUE, _xlfn.UNIQUE((IF(AC6:AC54&lt;&gt;"", IF(_xlfn.ANCHORARRAY($A6)=Assets[Asset ID
Free text], Assets[Type of asset
Dropdown menu], ""),"")))))</f>
        <v/>
      </c>
      <c r="AD4" s="76" t="str" cm="1">
        <f t="array" ref="AD4">IF(AD2="", "", _xlfn.TEXTJOIN(", "&amp;CHAR(10), TRUE, _xlfn.UNIQUE((IF(AD6:AD54&lt;&gt;"", IF(_xlfn.ANCHORARRAY($A6)=Assets[Asset ID
Free text], Assets[Type of asset
Dropdown menu], ""),"")))))</f>
        <v/>
      </c>
      <c r="AE4" s="76" t="str" cm="1">
        <f t="array" ref="AE4">IF(AE2="", "", _xlfn.TEXTJOIN(", "&amp;CHAR(10), TRUE, _xlfn.UNIQUE((IF(AE6:AE54&lt;&gt;"", IF(_xlfn.ANCHORARRAY($A6)=Assets[Asset ID
Free text], Assets[Type of asset
Dropdown menu], ""),"")))))</f>
        <v/>
      </c>
      <c r="AF4" s="76" t="str" cm="1">
        <f t="array" ref="AF4">IF(AF2="", "", _xlfn.TEXTJOIN(", "&amp;CHAR(10), TRUE, _xlfn.UNIQUE((IF(AF6:AF54&lt;&gt;"", IF(_xlfn.ANCHORARRAY($A6)=Assets[Asset ID
Free text], Assets[Type of asset
Dropdown menu], ""),"")))))</f>
        <v/>
      </c>
      <c r="AG4" s="76" t="str" cm="1">
        <f t="array" ref="AG4">IF(AG2="", "", _xlfn.TEXTJOIN(", "&amp;CHAR(10), TRUE, _xlfn.UNIQUE((IF(AG6:AG54&lt;&gt;"", IF(_xlfn.ANCHORARRAY($A6)=Assets[Asset ID
Free text], Assets[Type of asset
Dropdown menu], ""),"")))))</f>
        <v/>
      </c>
      <c r="AH4" s="76" t="str" cm="1">
        <f t="array" ref="AH4">IF(AH2="", "", _xlfn.TEXTJOIN(", "&amp;CHAR(10), TRUE, _xlfn.UNIQUE((IF(AH6:AH54&lt;&gt;"", IF(_xlfn.ANCHORARRAY($A6)=Assets[Asset ID
Free text], Assets[Type of asset
Dropdown menu], ""),"")))))</f>
        <v/>
      </c>
      <c r="AI4" s="76" t="str" cm="1">
        <f t="array" ref="AI4">IF(AI2="", "", _xlfn.TEXTJOIN(", "&amp;CHAR(10), TRUE, _xlfn.UNIQUE((IF(AI6:AI54&lt;&gt;"", IF(_xlfn.ANCHORARRAY($A6)=Assets[Asset ID
Free text], Assets[Type of asset
Dropdown menu], ""),"")))))</f>
        <v/>
      </c>
      <c r="AJ4" s="76" t="str" cm="1">
        <f t="array" ref="AJ4">IF(AJ2="", "", _xlfn.TEXTJOIN(", "&amp;CHAR(10), TRUE, _xlfn.UNIQUE((IF(AJ6:AJ54&lt;&gt;"", IF(_xlfn.ANCHORARRAY($A6)=Assets[Asset ID
Free text], Assets[Type of asset
Dropdown menu], ""),"")))))</f>
        <v/>
      </c>
      <c r="AK4" s="76" t="str" cm="1">
        <f t="array" ref="AK4">IF(AK2="", "", _xlfn.TEXTJOIN(", "&amp;CHAR(10), TRUE, _xlfn.UNIQUE((IF(AK6:AK54&lt;&gt;"", IF(_xlfn.ANCHORARRAY($A6)=Assets[Asset ID
Free text], Assets[Type of asset
Dropdown menu], ""),"")))))</f>
        <v/>
      </c>
      <c r="AL4" s="76" t="str" cm="1">
        <f t="array" ref="AL4">IF(AL2="", "", _xlfn.TEXTJOIN(", "&amp;CHAR(10), TRUE, _xlfn.UNIQUE((IF(AL6:AL54&lt;&gt;"", IF(_xlfn.ANCHORARRAY($A6)=Assets[Asset ID
Free text], Assets[Type of asset
Dropdown menu], ""),"")))))</f>
        <v/>
      </c>
      <c r="AM4" s="76" t="str" cm="1">
        <f t="array" ref="AM4">IF(AM2="", "", _xlfn.TEXTJOIN(", "&amp;CHAR(10), TRUE, _xlfn.UNIQUE((IF(AM6:AM54&lt;&gt;"", IF(_xlfn.ANCHORARRAY($A6)=Assets[Asset ID
Free text], Assets[Type of asset
Dropdown menu], ""),"")))))</f>
        <v/>
      </c>
      <c r="AN4" s="76" t="str" cm="1">
        <f t="array" ref="AN4">IF(AN2="", "", _xlfn.TEXTJOIN(", "&amp;CHAR(10), TRUE, _xlfn.UNIQUE((IF(AN6:AN54&lt;&gt;"", IF(_xlfn.ANCHORARRAY($A6)=Assets[Asset ID
Free text], Assets[Type of asset
Dropdown menu], ""),"")))))</f>
        <v/>
      </c>
      <c r="AO4" s="76" t="str" cm="1">
        <f t="array" ref="AO4">IF(AO2="", "", _xlfn.TEXTJOIN(", "&amp;CHAR(10), TRUE, _xlfn.UNIQUE((IF(AO6:AO54&lt;&gt;"", IF(_xlfn.ANCHORARRAY($A6)=Assets[Asset ID
Free text], Assets[Type of asset
Dropdown menu], ""),"")))))</f>
        <v/>
      </c>
      <c r="AP4" s="76" t="str" cm="1">
        <f t="array" ref="AP4">IF(AP2="", "", _xlfn.TEXTJOIN(", "&amp;CHAR(10), TRUE, _xlfn.UNIQUE((IF(AP6:AP54&lt;&gt;"", IF(_xlfn.ANCHORARRAY($A6)=Assets[Asset ID
Free text], Assets[Type of asset
Dropdown menu], ""),"")))))</f>
        <v/>
      </c>
      <c r="AQ4" s="76" t="str" cm="1">
        <f t="array" ref="AQ4">IF(AQ2="", "", _xlfn.TEXTJOIN(", "&amp;CHAR(10), TRUE, _xlfn.UNIQUE((IF(AQ6:AQ54&lt;&gt;"", IF(_xlfn.ANCHORARRAY($A6)=Assets[Asset ID
Free text], Assets[Type of asset
Dropdown menu], ""),"")))))</f>
        <v/>
      </c>
      <c r="AR4" s="76" t="str" cm="1">
        <f t="array" ref="AR4">IF(AR2="", "", _xlfn.TEXTJOIN(", "&amp;CHAR(10), TRUE, _xlfn.UNIQUE((IF(AR6:AR54&lt;&gt;"", IF(_xlfn.ANCHORARRAY($A6)=Assets[Asset ID
Free text], Assets[Type of asset
Dropdown menu], ""),"")))))</f>
        <v/>
      </c>
      <c r="AS4" s="76" t="str" cm="1">
        <f t="array" ref="AS4">IF(AS2="", "", _xlfn.TEXTJOIN(", "&amp;CHAR(10), TRUE, _xlfn.UNIQUE((IF(AS6:AS54&lt;&gt;"", IF(_xlfn.ANCHORARRAY($A6)=Assets[Asset ID
Free text], Assets[Type of asset
Dropdown menu], ""),"")))))</f>
        <v/>
      </c>
      <c r="AT4" s="76" t="str" cm="1">
        <f t="array" ref="AT4">IF(AT2="", "", _xlfn.TEXTJOIN(", "&amp;CHAR(10), TRUE, _xlfn.UNIQUE((IF(AT6:AT54&lt;&gt;"", IF(_xlfn.ANCHORARRAY($A6)=Assets[Asset ID
Free text], Assets[Type of asset
Dropdown menu], ""),"")))))</f>
        <v/>
      </c>
      <c r="AU4" s="76" t="str" cm="1">
        <f t="array" ref="AU4">IF(AU2="", "", _xlfn.TEXTJOIN(", "&amp;CHAR(10), TRUE, _xlfn.UNIQUE((IF(AU6:AU54&lt;&gt;"", IF(_xlfn.ANCHORARRAY($A6)=Assets[Asset ID
Free text], Assets[Type of asset
Dropdown menu], ""),"")))))</f>
        <v/>
      </c>
      <c r="AV4" s="76" t="str" cm="1">
        <f t="array" ref="AV4">IF(AV2="", "", _xlfn.TEXTJOIN(", "&amp;CHAR(10), TRUE, _xlfn.UNIQUE((IF(AV6:AV54&lt;&gt;"", IF(_xlfn.ANCHORARRAY($A6)=Assets[Asset ID
Free text], Assets[Type of asset
Dropdown menu], ""),"")))))</f>
        <v/>
      </c>
      <c r="AW4" s="76" t="str" cm="1">
        <f t="array" ref="AW4">IF(AW2="", "", _xlfn.TEXTJOIN(", "&amp;CHAR(10), TRUE, _xlfn.UNIQUE((IF(AW6:AW54&lt;&gt;"", IF(_xlfn.ANCHORARRAY($A6)=Assets[Asset ID
Free text], Assets[Type of asset
Dropdown menu], ""),"")))))</f>
        <v/>
      </c>
      <c r="AX4" s="76" t="str" cm="1">
        <f t="array" ref="AX4">IF(AX2="", "", _xlfn.TEXTJOIN(", "&amp;CHAR(10), TRUE, _xlfn.UNIQUE((IF(AX6:AX54&lt;&gt;"", IF(_xlfn.ANCHORARRAY($A6)=Assets[Asset ID
Free text], Assets[Type of asset
Dropdown menu], ""),"")))))</f>
        <v/>
      </c>
      <c r="AY4" s="80" t="str" cm="1">
        <f t="array" ref="AY4">IF(AY2="", "", _xlfn.TEXTJOIN(", "&amp;CHAR(10), TRUE, _xlfn.UNIQUE((IF(AY6:AY54&lt;&gt;"", IF(_xlfn.ANCHORARRAY($A6)=Assets[Asset ID
Free text], Assets[Type of asset
Dropdown menu], ""),"")))))</f>
        <v/>
      </c>
    </row>
    <row r="5" spans="1:51" s="53" customFormat="1" ht="67.5" customHeight="1" x14ac:dyDescent="0.3">
      <c r="A5" s="65"/>
      <c r="B5" s="555" t="s">
        <v>115</v>
      </c>
      <c r="C5" s="556" t="str" cm="1">
        <f t="array" ref="C5">IF(C2="", "", _xlfn.TEXTJOIN(", "&amp;CHAR(10),TRUE,(IF(C6:C54&lt;&gt;"",_xlfn.ANCHORARRAY($A$6),""))))</f>
        <v/>
      </c>
      <c r="D5" s="557" t="str" cm="1">
        <f t="array" ref="D5">IF(D2="", "", _xlfn.TEXTJOIN(", "&amp;CHAR(10),TRUE,(IF(D6:D54&lt;&gt;"",_xlfn.ANCHORARRAY($A$6),""))))</f>
        <v/>
      </c>
      <c r="E5" s="557" t="str" cm="1">
        <f t="array" ref="E5">IF(E2="", "", _xlfn.TEXTJOIN(", "&amp;CHAR(10),TRUE,(IF(E6:E54&lt;&gt;"",_xlfn.ANCHORARRAY($A$6),""))))</f>
        <v/>
      </c>
      <c r="F5" s="557" t="str" cm="1">
        <f t="array" ref="F5">IF(F2="", "", _xlfn.TEXTJOIN(", "&amp;CHAR(10),TRUE,(IF(F6:F54&lt;&gt;"",_xlfn.ANCHORARRAY($A$6),""))))</f>
        <v/>
      </c>
      <c r="G5" s="557" t="str" cm="1">
        <f t="array" ref="G5">IF(G2="", "", _xlfn.TEXTJOIN(", "&amp;CHAR(10),TRUE,(IF(G6:G54&lt;&gt;"",_xlfn.ANCHORARRAY($A$6),""))))</f>
        <v/>
      </c>
      <c r="H5" s="557" t="str" cm="1">
        <f t="array" ref="H5">IF(H2="", "", _xlfn.TEXTJOIN(", "&amp;CHAR(10),TRUE,(IF(H6:H54&lt;&gt;"",_xlfn.ANCHORARRAY($A$6),""))))</f>
        <v/>
      </c>
      <c r="I5" s="557" t="str" cm="1">
        <f t="array" ref="I5">IF(I2="", "", _xlfn.TEXTJOIN(", "&amp;CHAR(10),TRUE,(IF(I6:I54&lt;&gt;"",_xlfn.ANCHORARRAY($A$6),""))))</f>
        <v/>
      </c>
      <c r="J5" s="557" t="str" cm="1">
        <f t="array" ref="J5">IF(J2="", "", _xlfn.TEXTJOIN(", "&amp;CHAR(10),TRUE,(IF(J6:J54&lt;&gt;"",_xlfn.ANCHORARRAY($A$6),""))))</f>
        <v/>
      </c>
      <c r="K5" s="557" t="str" cm="1">
        <f t="array" ref="K5">IF(K2="", "", _xlfn.TEXTJOIN(", "&amp;CHAR(10),TRUE,(IF(K6:K54&lt;&gt;"",_xlfn.ANCHORARRAY($A$6),""))))</f>
        <v/>
      </c>
      <c r="L5" s="557" t="str" cm="1">
        <f t="array" ref="L5">IF(L2="", "", _xlfn.TEXTJOIN(", "&amp;CHAR(10),TRUE,(IF(L6:L54&lt;&gt;"",_xlfn.ANCHORARRAY($A$6),""))))</f>
        <v/>
      </c>
      <c r="M5" s="557" t="str" cm="1">
        <f t="array" ref="M5">IF(M2="", "", _xlfn.TEXTJOIN(", "&amp;CHAR(10),TRUE,(IF(M6:M54&lt;&gt;"",_xlfn.ANCHORARRAY($A$6),""))))</f>
        <v/>
      </c>
      <c r="N5" s="557" t="str" cm="1">
        <f t="array" ref="N5">IF(N2="", "", _xlfn.TEXTJOIN(", "&amp;CHAR(10),TRUE,(IF(N6:N54&lt;&gt;"",_xlfn.ANCHORARRAY($A$6),""))))</f>
        <v/>
      </c>
      <c r="O5" s="557" t="str" cm="1">
        <f t="array" ref="O5">IF(O2="", "", _xlfn.TEXTJOIN(", "&amp;CHAR(10),TRUE,(IF(O6:O54&lt;&gt;"",_xlfn.ANCHORARRAY($A$6),""))))</f>
        <v/>
      </c>
      <c r="P5" s="557" t="str" cm="1">
        <f t="array" ref="P5">IF(P2="", "", _xlfn.TEXTJOIN(", "&amp;CHAR(10),TRUE,(IF(P6:P54&lt;&gt;"",_xlfn.ANCHORARRAY($A$6),""))))</f>
        <v/>
      </c>
      <c r="Q5" s="557" t="str" cm="1">
        <f t="array" ref="Q5">IF(Q2="", "", _xlfn.TEXTJOIN(", "&amp;CHAR(10),TRUE,(IF(Q6:Q54&lt;&gt;"",_xlfn.ANCHORARRAY($A$6),""))))</f>
        <v/>
      </c>
      <c r="R5" s="557" t="str" cm="1">
        <f t="array" ref="R5">IF(R2="", "", _xlfn.TEXTJOIN(", "&amp;CHAR(10),TRUE,(IF(R6:R54&lt;&gt;"",_xlfn.ANCHORARRAY($A$6),""))))</f>
        <v/>
      </c>
      <c r="S5" s="557" t="str" cm="1">
        <f t="array" ref="S5">IF(S2="", "", _xlfn.TEXTJOIN(", "&amp;CHAR(10),TRUE,(IF(S6:S54&lt;&gt;"",_xlfn.ANCHORARRAY($A$6),""))))</f>
        <v/>
      </c>
      <c r="T5" s="557" t="str" cm="1">
        <f t="array" ref="T5">IF(T2="", "", _xlfn.TEXTJOIN(", "&amp;CHAR(10),TRUE,(IF(T6:T54&lt;&gt;"",_xlfn.ANCHORARRAY($A$6),""))))</f>
        <v/>
      </c>
      <c r="U5" s="557" t="str" cm="1">
        <f t="array" ref="U5">IF(U2="", "", _xlfn.TEXTJOIN(", "&amp;CHAR(10),TRUE,(IF(U6:U54&lt;&gt;"",_xlfn.ANCHORARRAY($A$6),""))))</f>
        <v/>
      </c>
      <c r="V5" s="557" t="str" cm="1">
        <f t="array" ref="V5">IF(V2="", "", _xlfn.TEXTJOIN(", "&amp;CHAR(10),TRUE,(IF(V6:V54&lt;&gt;"",_xlfn.ANCHORARRAY($A$6),""))))</f>
        <v/>
      </c>
      <c r="W5" s="557" t="str" cm="1">
        <f t="array" ref="W5">IF(W2="", "", _xlfn.TEXTJOIN(", "&amp;CHAR(10),TRUE,(IF(W6:W54&lt;&gt;"",_xlfn.ANCHORARRAY($A$6),""))))</f>
        <v/>
      </c>
      <c r="X5" s="557" t="str" cm="1">
        <f t="array" ref="X5">IF(X2="", "", _xlfn.TEXTJOIN(", "&amp;CHAR(10),TRUE,(IF(X6:X54&lt;&gt;"",_xlfn.ANCHORARRAY($A$6),""))))</f>
        <v/>
      </c>
      <c r="Y5" s="557" t="str" cm="1">
        <f t="array" ref="Y5">IF(Y2="", "", _xlfn.TEXTJOIN(", "&amp;CHAR(10),TRUE,(IF(Y6:Y54&lt;&gt;"",_xlfn.ANCHORARRAY($A$6),""))))</f>
        <v/>
      </c>
      <c r="Z5" s="557" t="str" cm="1">
        <f t="array" ref="Z5">IF(Z2="", "", _xlfn.TEXTJOIN(", "&amp;CHAR(10),TRUE,(IF(Z6:Z54&lt;&gt;"",_xlfn.ANCHORARRAY($A$6),""))))</f>
        <v/>
      </c>
      <c r="AA5" s="557" t="str" cm="1">
        <f t="array" ref="AA5">IF(AA2="", "", _xlfn.TEXTJOIN(", "&amp;CHAR(10),TRUE,(IF(AA6:AA54&lt;&gt;"",_xlfn.ANCHORARRAY($A$6),""))))</f>
        <v/>
      </c>
      <c r="AB5" s="557" t="str" cm="1">
        <f t="array" ref="AB5">IF(AB2="", "", _xlfn.TEXTJOIN(", "&amp;CHAR(10),TRUE,(IF(AB6:AB54&lt;&gt;"",_xlfn.ANCHORARRAY($A$6),""))))</f>
        <v/>
      </c>
      <c r="AC5" s="557" t="str" cm="1">
        <f t="array" ref="AC5">IF(AC2="", "", _xlfn.TEXTJOIN(", "&amp;CHAR(10),TRUE,(IF(AC6:AC54&lt;&gt;"",_xlfn.ANCHORARRAY($A$6),""))))</f>
        <v/>
      </c>
      <c r="AD5" s="557" t="str" cm="1">
        <f t="array" ref="AD5">IF(AD2="", "", _xlfn.TEXTJOIN(", "&amp;CHAR(10),TRUE,(IF(AD6:AD54&lt;&gt;"",_xlfn.ANCHORARRAY($A$6),""))))</f>
        <v/>
      </c>
      <c r="AE5" s="557" t="str" cm="1">
        <f t="array" ref="AE5">IF(AE2="", "", _xlfn.TEXTJOIN(", "&amp;CHAR(10),TRUE,(IF(AE6:AE54&lt;&gt;"",_xlfn.ANCHORARRAY($A$6),""))))</f>
        <v/>
      </c>
      <c r="AF5" s="557" t="str" cm="1">
        <f t="array" ref="AF5">IF(AF2="", "", _xlfn.TEXTJOIN(", "&amp;CHAR(10),TRUE,(IF(AF6:AF54&lt;&gt;"",_xlfn.ANCHORARRAY($A$6),""))))</f>
        <v/>
      </c>
      <c r="AG5" s="557" t="str" cm="1">
        <f t="array" ref="AG5">IF(AG2="", "", _xlfn.TEXTJOIN(", "&amp;CHAR(10),TRUE,(IF(AG6:AG54&lt;&gt;"",_xlfn.ANCHORARRAY($A$6),""))))</f>
        <v/>
      </c>
      <c r="AH5" s="557" t="str" cm="1">
        <f t="array" ref="AH5">IF(AH2="", "", _xlfn.TEXTJOIN(", "&amp;CHAR(10),TRUE,(IF(AH6:AH54&lt;&gt;"",_xlfn.ANCHORARRAY($A$6),""))))</f>
        <v/>
      </c>
      <c r="AI5" s="557" t="str" cm="1">
        <f t="array" ref="AI5">IF(AI2="", "", _xlfn.TEXTJOIN(", "&amp;CHAR(10),TRUE,(IF(AI6:AI54&lt;&gt;"",_xlfn.ANCHORARRAY($A$6),""))))</f>
        <v/>
      </c>
      <c r="AJ5" s="557" t="str" cm="1">
        <f t="array" ref="AJ5">IF(AJ2="", "", _xlfn.TEXTJOIN(", "&amp;CHAR(10),TRUE,(IF(AJ6:AJ54&lt;&gt;"",_xlfn.ANCHORARRAY($A$6),""))))</f>
        <v/>
      </c>
      <c r="AK5" s="557" t="str" cm="1">
        <f t="array" ref="AK5">IF(AK2="", "", _xlfn.TEXTJOIN(", "&amp;CHAR(10),TRUE,(IF(AK6:AK54&lt;&gt;"",_xlfn.ANCHORARRAY($A$6),""))))</f>
        <v/>
      </c>
      <c r="AL5" s="557" t="str" cm="1">
        <f t="array" ref="AL5">IF(AL2="", "", _xlfn.TEXTJOIN(", "&amp;CHAR(10),TRUE,(IF(AL6:AL54&lt;&gt;"",_xlfn.ANCHORARRAY($A$6),""))))</f>
        <v/>
      </c>
      <c r="AM5" s="557" t="str" cm="1">
        <f t="array" ref="AM5">IF(AM2="", "", _xlfn.TEXTJOIN(", "&amp;CHAR(10),TRUE,(IF(AM6:AM54&lt;&gt;"",_xlfn.ANCHORARRAY($A$6),""))))</f>
        <v/>
      </c>
      <c r="AN5" s="557" t="str" cm="1">
        <f t="array" ref="AN5">IF(AN2="", "", _xlfn.TEXTJOIN(", "&amp;CHAR(10),TRUE,(IF(AN6:AN54&lt;&gt;"",_xlfn.ANCHORARRAY($A$6),""))))</f>
        <v/>
      </c>
      <c r="AO5" s="557" t="str" cm="1">
        <f t="array" ref="AO5">IF(AO2="", "", _xlfn.TEXTJOIN(", "&amp;CHAR(10),TRUE,(IF(AO6:AO54&lt;&gt;"",_xlfn.ANCHORARRAY($A$6),""))))</f>
        <v/>
      </c>
      <c r="AP5" s="557" t="str" cm="1">
        <f t="array" ref="AP5">IF(AP2="", "", _xlfn.TEXTJOIN(", "&amp;CHAR(10),TRUE,(IF(AP6:AP54&lt;&gt;"",_xlfn.ANCHORARRAY($A$6),""))))</f>
        <v/>
      </c>
      <c r="AQ5" s="557" t="str" cm="1">
        <f t="array" ref="AQ5">IF(AQ2="", "", _xlfn.TEXTJOIN(", "&amp;CHAR(10),TRUE,(IF(AQ6:AQ54&lt;&gt;"",_xlfn.ANCHORARRAY($A$6),""))))</f>
        <v/>
      </c>
      <c r="AR5" s="557" t="str" cm="1">
        <f t="array" ref="AR5">IF(AR2="", "", _xlfn.TEXTJOIN(", "&amp;CHAR(10),TRUE,(IF(AR6:AR54&lt;&gt;"",_xlfn.ANCHORARRAY($A$6),""))))</f>
        <v/>
      </c>
      <c r="AS5" s="557" t="str" cm="1">
        <f t="array" ref="AS5">IF(AS2="", "", _xlfn.TEXTJOIN(", "&amp;CHAR(10),TRUE,(IF(AS6:AS54&lt;&gt;"",_xlfn.ANCHORARRAY($A$6),""))))</f>
        <v/>
      </c>
      <c r="AT5" s="557" t="str" cm="1">
        <f t="array" ref="AT5">IF(AT2="", "", _xlfn.TEXTJOIN(", "&amp;CHAR(10),TRUE,(IF(AT6:AT54&lt;&gt;"",_xlfn.ANCHORARRAY($A$6),""))))</f>
        <v/>
      </c>
      <c r="AU5" s="557" t="str" cm="1">
        <f t="array" ref="AU5">IF(AU2="", "", _xlfn.TEXTJOIN(", "&amp;CHAR(10),TRUE,(IF(AU6:AU54&lt;&gt;"",_xlfn.ANCHORARRAY($A$6),""))))</f>
        <v/>
      </c>
      <c r="AV5" s="557" t="str" cm="1">
        <f t="array" ref="AV5">IF(AV2="", "", _xlfn.TEXTJOIN(", "&amp;CHAR(10),TRUE,(IF(AV6:AV54&lt;&gt;"",_xlfn.ANCHORARRAY($A$6),""))))</f>
        <v/>
      </c>
      <c r="AW5" s="557" t="str" cm="1">
        <f t="array" ref="AW5">IF(AW2="", "", _xlfn.TEXTJOIN(", "&amp;CHAR(10),TRUE,(IF(AW6:AW54&lt;&gt;"",_xlfn.ANCHORARRAY($A$6),""))))</f>
        <v/>
      </c>
      <c r="AX5" s="557" t="str" cm="1">
        <f t="array" ref="AX5">IF(AX2="", "", _xlfn.TEXTJOIN(", "&amp;CHAR(10),TRUE,(IF(AX6:AX54&lt;&gt;"",_xlfn.ANCHORARRAY($A$6),""))))</f>
        <v/>
      </c>
      <c r="AY5" s="558" t="str" cm="1">
        <f t="array" ref="AY5">IF(AY2="", "", _xlfn.TEXTJOIN(", "&amp;CHAR(10),TRUE,(IF(AY6:AY54&lt;&gt;"",_xlfn.ANCHORARRAY($A$6),""))))</f>
        <v/>
      </c>
    </row>
    <row r="6" spans="1:51" s="266" customFormat="1" x14ac:dyDescent="0.3">
      <c r="A6" s="559" t="str" cm="1">
        <f t="array" ref="A6:A54">IF(Assets[Asset ID
Free text]&lt;&gt;0, Assets[Asset ID
Free text], "")</f>
        <v/>
      </c>
      <c r="B6" s="560" t="str" cm="1">
        <f t="array" ref="B6">IF(A6="", "", _xlfn.TEXTJOIN(", "&amp;CHAR(10), TRUE, (IF(C6:AY6&lt;&gt;"",_xlfn.ANCHORARRAY( $C$2), ""))))</f>
        <v/>
      </c>
      <c r="C6" s="70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2"/>
    </row>
    <row r="7" spans="1:51" s="266" customFormat="1" x14ac:dyDescent="0.3">
      <c r="A7" s="559" t="str">
        <v/>
      </c>
      <c r="B7" s="560" t="str" cm="1">
        <f t="array" ref="B7">IF(A7="", "", _xlfn.TEXTJOIN(", "&amp;CHAR(10), TRUE, (IF(C7:AY7&lt;&gt;"",_xlfn.ANCHORARRAY( $C$2), ""))))</f>
        <v/>
      </c>
      <c r="C7" s="70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2"/>
    </row>
    <row r="8" spans="1:51" s="266" customFormat="1" x14ac:dyDescent="0.3">
      <c r="A8" s="559" t="str">
        <v/>
      </c>
      <c r="B8" s="560" t="str" cm="1">
        <f t="array" ref="B8">IF(A8="", "", _xlfn.TEXTJOIN(", "&amp;CHAR(10), TRUE, (IF(C8:AY8&lt;&gt;"",_xlfn.ANCHORARRAY( $C$2), ""))))</f>
        <v/>
      </c>
      <c r="C8" s="70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2"/>
    </row>
    <row r="9" spans="1:51" s="266" customFormat="1" x14ac:dyDescent="0.3">
      <c r="A9" s="559" t="str">
        <v/>
      </c>
      <c r="B9" s="560" t="str" cm="1">
        <f t="array" ref="B9">IF(A9="", "", _xlfn.TEXTJOIN(", "&amp;CHAR(10), TRUE, (IF(C9:AY9&lt;&gt;"",_xlfn.ANCHORARRAY( $C$2), ""))))</f>
        <v/>
      </c>
      <c r="C9" s="70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2"/>
    </row>
    <row r="10" spans="1:51" s="266" customFormat="1" x14ac:dyDescent="0.3">
      <c r="A10" s="559" t="str">
        <v/>
      </c>
      <c r="B10" s="560" t="str" cm="1">
        <f t="array" ref="B10">IF(A10="", "", _xlfn.TEXTJOIN(", "&amp;CHAR(10), TRUE, (IF(C10:AY10&lt;&gt;"",_xlfn.ANCHORARRAY( $C$2), ""))))</f>
        <v/>
      </c>
      <c r="C10" s="70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2"/>
    </row>
    <row r="11" spans="1:51" s="266" customFormat="1" x14ac:dyDescent="0.3">
      <c r="A11" s="559" t="str">
        <v/>
      </c>
      <c r="B11" s="560" t="str" cm="1">
        <f t="array" ref="B11">IF(A11="", "", _xlfn.TEXTJOIN(", "&amp;CHAR(10), TRUE, (IF(C11:AY11&lt;&gt;"",_xlfn.ANCHORARRAY( $C$2), ""))))</f>
        <v/>
      </c>
      <c r="C11" s="70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2"/>
    </row>
    <row r="12" spans="1:51" s="266" customFormat="1" x14ac:dyDescent="0.3">
      <c r="A12" s="559" t="str">
        <v/>
      </c>
      <c r="B12" s="560" t="str" cm="1">
        <f t="array" ref="B12">IF(A12="", "", _xlfn.TEXTJOIN(", "&amp;CHAR(10), TRUE, (IF(C12:AY12&lt;&gt;"",_xlfn.ANCHORARRAY( $C$2), ""))))</f>
        <v/>
      </c>
      <c r="C12" s="70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2"/>
    </row>
    <row r="13" spans="1:51" s="266" customFormat="1" x14ac:dyDescent="0.3">
      <c r="A13" s="559" t="str">
        <v/>
      </c>
      <c r="B13" s="560" t="str" cm="1">
        <f t="array" ref="B13">IF(A13="", "", _xlfn.TEXTJOIN(", "&amp;CHAR(10), TRUE, (IF(C13:AY13&lt;&gt;"",_xlfn.ANCHORARRAY( $C$2), ""))))</f>
        <v/>
      </c>
      <c r="C13" s="70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2"/>
    </row>
    <row r="14" spans="1:51" s="266" customFormat="1" x14ac:dyDescent="0.3">
      <c r="A14" s="559" t="str">
        <v/>
      </c>
      <c r="B14" s="560" t="str" cm="1">
        <f t="array" ref="B14">IF(A14="", "", _xlfn.TEXTJOIN(", "&amp;CHAR(10), TRUE, (IF(C14:AY14&lt;&gt;"",_xlfn.ANCHORARRAY( $C$2), ""))))</f>
        <v/>
      </c>
      <c r="C14" s="70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2"/>
    </row>
    <row r="15" spans="1:51" s="266" customFormat="1" x14ac:dyDescent="0.3">
      <c r="A15" s="559" t="str">
        <v/>
      </c>
      <c r="B15" s="560" t="str" cm="1">
        <f t="array" ref="B15">IF(A15="", "", _xlfn.TEXTJOIN(", "&amp;CHAR(10), TRUE, (IF(C15:AY15&lt;&gt;"",_xlfn.ANCHORARRAY( $C$2), ""))))</f>
        <v/>
      </c>
      <c r="C15" s="70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2"/>
    </row>
    <row r="16" spans="1:51" s="266" customFormat="1" x14ac:dyDescent="0.3">
      <c r="A16" s="559" t="str">
        <v/>
      </c>
      <c r="B16" s="560" t="str" cm="1">
        <f t="array" ref="B16">IF(A16="", "", _xlfn.TEXTJOIN(", "&amp;CHAR(10), TRUE, (IF(C16:AY16&lt;&gt;"",_xlfn.ANCHORARRAY( $C$2), ""))))</f>
        <v/>
      </c>
      <c r="C16" s="70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2"/>
    </row>
    <row r="17" spans="1:51" s="266" customFormat="1" x14ac:dyDescent="0.3">
      <c r="A17" s="559" t="str">
        <v/>
      </c>
      <c r="B17" s="560" t="str" cm="1">
        <f t="array" ref="B17">IF(A17="", "", _xlfn.TEXTJOIN(", "&amp;CHAR(10), TRUE, (IF(C17:AY17&lt;&gt;"",_xlfn.ANCHORARRAY( $C$2), ""))))</f>
        <v/>
      </c>
      <c r="C17" s="70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2"/>
    </row>
    <row r="18" spans="1:51" s="266" customFormat="1" x14ac:dyDescent="0.3">
      <c r="A18" s="559" t="str">
        <v/>
      </c>
      <c r="B18" s="560" t="str" cm="1">
        <f t="array" ref="B18">IF(A18="", "", _xlfn.TEXTJOIN(", "&amp;CHAR(10), TRUE, (IF(C18:AY18&lt;&gt;"",_xlfn.ANCHORARRAY( $C$2), ""))))</f>
        <v/>
      </c>
      <c r="C18" s="70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2"/>
    </row>
    <row r="19" spans="1:51" s="266" customFormat="1" x14ac:dyDescent="0.3">
      <c r="A19" s="559" t="str">
        <v/>
      </c>
      <c r="B19" s="560" t="str" cm="1">
        <f t="array" ref="B19">IF(A19="", "", _xlfn.TEXTJOIN(", "&amp;CHAR(10), TRUE, (IF(C19:AY19&lt;&gt;"",_xlfn.ANCHORARRAY( $C$2), ""))))</f>
        <v/>
      </c>
      <c r="C19" s="70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2"/>
    </row>
    <row r="20" spans="1:51" s="266" customFormat="1" x14ac:dyDescent="0.3">
      <c r="A20" s="559" t="str">
        <v/>
      </c>
      <c r="B20" s="560" t="str" cm="1">
        <f t="array" ref="B20">IF(A20="", "", _xlfn.TEXTJOIN(", "&amp;CHAR(10), TRUE, (IF(C20:AY20&lt;&gt;"",_xlfn.ANCHORARRAY( $C$2), ""))))</f>
        <v/>
      </c>
      <c r="C20" s="70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2"/>
    </row>
    <row r="21" spans="1:51" s="266" customFormat="1" x14ac:dyDescent="0.3">
      <c r="A21" s="559" t="str">
        <v/>
      </c>
      <c r="B21" s="560" t="str" cm="1">
        <f t="array" ref="B21">IF(A21="", "", _xlfn.TEXTJOIN(", "&amp;CHAR(10), TRUE, (IF(C21:AY21&lt;&gt;"",_xlfn.ANCHORARRAY( $C$2), ""))))</f>
        <v/>
      </c>
      <c r="C21" s="70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2"/>
    </row>
    <row r="22" spans="1:51" s="266" customFormat="1" x14ac:dyDescent="0.3">
      <c r="A22" s="559" t="str">
        <v/>
      </c>
      <c r="B22" s="560" t="str" cm="1">
        <f t="array" ref="B22">IF(A22="", "", _xlfn.TEXTJOIN(", "&amp;CHAR(10), TRUE, (IF(C22:AY22&lt;&gt;"",_xlfn.ANCHORARRAY( $C$2), ""))))</f>
        <v/>
      </c>
      <c r="C22" s="70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2"/>
    </row>
    <row r="23" spans="1:51" s="266" customFormat="1" x14ac:dyDescent="0.3">
      <c r="A23" s="559" t="str">
        <v/>
      </c>
      <c r="B23" s="560" t="str" cm="1">
        <f t="array" ref="B23">IF(A23="", "", _xlfn.TEXTJOIN(", "&amp;CHAR(10), TRUE, (IF(C23:AY23&lt;&gt;"",_xlfn.ANCHORARRAY( $C$2), ""))))</f>
        <v/>
      </c>
      <c r="C23" s="70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2"/>
    </row>
    <row r="24" spans="1:51" s="266" customFormat="1" x14ac:dyDescent="0.3">
      <c r="A24" s="559" t="str">
        <v/>
      </c>
      <c r="B24" s="560" t="str" cm="1">
        <f t="array" ref="B24">IF(A24="", "", _xlfn.TEXTJOIN(", "&amp;CHAR(10), TRUE, (IF(C24:AY24&lt;&gt;"",_xlfn.ANCHORARRAY( $C$2), ""))))</f>
        <v/>
      </c>
      <c r="C24" s="70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2"/>
    </row>
    <row r="25" spans="1:51" s="266" customFormat="1" x14ac:dyDescent="0.3">
      <c r="A25" s="559" t="str">
        <v/>
      </c>
      <c r="B25" s="560" t="str" cm="1">
        <f t="array" ref="B25">IF(A25="", "", _xlfn.TEXTJOIN(", "&amp;CHAR(10), TRUE, (IF(C25:AY25&lt;&gt;"",_xlfn.ANCHORARRAY( $C$2), ""))))</f>
        <v/>
      </c>
      <c r="C25" s="70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1"/>
      <c r="AX25" s="71"/>
      <c r="AY25" s="72"/>
    </row>
    <row r="26" spans="1:51" s="266" customFormat="1" x14ac:dyDescent="0.3">
      <c r="A26" s="559" t="str">
        <v/>
      </c>
      <c r="B26" s="560" t="str" cm="1">
        <f t="array" ref="B26">IF(A26="", "", _xlfn.TEXTJOIN(", "&amp;CHAR(10), TRUE, (IF(C26:AY26&lt;&gt;"",_xlfn.ANCHORARRAY( $C$2), ""))))</f>
        <v/>
      </c>
      <c r="C26" s="70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2"/>
    </row>
    <row r="27" spans="1:51" s="266" customFormat="1" x14ac:dyDescent="0.3">
      <c r="A27" s="559" t="str">
        <v/>
      </c>
      <c r="B27" s="560" t="str" cm="1">
        <f t="array" ref="B27">IF(A27="", "", _xlfn.TEXTJOIN(", "&amp;CHAR(10), TRUE, (IF(C27:AY27&lt;&gt;"",_xlfn.ANCHORARRAY( $C$2), ""))))</f>
        <v/>
      </c>
      <c r="C27" s="70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2"/>
    </row>
    <row r="28" spans="1:51" s="266" customFormat="1" x14ac:dyDescent="0.3">
      <c r="A28" s="559" t="str">
        <v/>
      </c>
      <c r="B28" s="560" t="str" cm="1">
        <f t="array" ref="B28">IF(A28="", "", _xlfn.TEXTJOIN(", "&amp;CHAR(10), TRUE, (IF(C28:AY28&lt;&gt;"",_xlfn.ANCHORARRAY( $C$2), ""))))</f>
        <v/>
      </c>
      <c r="C28" s="70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2"/>
    </row>
    <row r="29" spans="1:51" s="266" customFormat="1" x14ac:dyDescent="0.3">
      <c r="A29" s="559" t="str">
        <v/>
      </c>
      <c r="B29" s="560" t="str" cm="1">
        <f t="array" ref="B29">IF(A29="", "", _xlfn.TEXTJOIN(", "&amp;CHAR(10), TRUE, (IF(C29:AY29&lt;&gt;"",_xlfn.ANCHORARRAY( $C$2), ""))))</f>
        <v/>
      </c>
      <c r="C29" s="70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2"/>
    </row>
    <row r="30" spans="1:51" s="266" customFormat="1" x14ac:dyDescent="0.3">
      <c r="A30" s="559" t="str">
        <v/>
      </c>
      <c r="B30" s="560" t="str" cm="1">
        <f t="array" ref="B30">IF(A30="", "", _xlfn.TEXTJOIN(", "&amp;CHAR(10), TRUE, (IF(C30:AY30&lt;&gt;"",_xlfn.ANCHORARRAY( $C$2), ""))))</f>
        <v/>
      </c>
      <c r="C30" s="70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2"/>
    </row>
    <row r="31" spans="1:51" s="266" customFormat="1" x14ac:dyDescent="0.3">
      <c r="A31" s="559" t="str">
        <v/>
      </c>
      <c r="B31" s="560" t="str" cm="1">
        <f t="array" ref="B31">IF(A31="", "", _xlfn.TEXTJOIN(", "&amp;CHAR(10), TRUE, (IF(C31:AY31&lt;&gt;"",_xlfn.ANCHORARRAY( $C$2), ""))))</f>
        <v/>
      </c>
      <c r="C31" s="70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  <c r="AS31" s="71"/>
      <c r="AT31" s="71"/>
      <c r="AU31" s="71"/>
      <c r="AV31" s="71"/>
      <c r="AW31" s="71"/>
      <c r="AX31" s="71"/>
      <c r="AY31" s="72"/>
    </row>
    <row r="32" spans="1:51" s="266" customFormat="1" x14ac:dyDescent="0.3">
      <c r="A32" s="559" t="str">
        <v/>
      </c>
      <c r="B32" s="560" t="str" cm="1">
        <f t="array" ref="B32">IF(A32="", "", _xlfn.TEXTJOIN(", "&amp;CHAR(10), TRUE, (IF(C32:AY32&lt;&gt;"",_xlfn.ANCHORARRAY( $C$2), ""))))</f>
        <v/>
      </c>
      <c r="C32" s="70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2"/>
    </row>
    <row r="33" spans="1:51" s="266" customFormat="1" x14ac:dyDescent="0.3">
      <c r="A33" s="559" t="str">
        <v/>
      </c>
      <c r="B33" s="560" t="str" cm="1">
        <f t="array" ref="B33">IF(A33="", "", _xlfn.TEXTJOIN(", "&amp;CHAR(10), TRUE, (IF(C33:AY33&lt;&gt;"",_xlfn.ANCHORARRAY( $C$2), ""))))</f>
        <v/>
      </c>
      <c r="C33" s="70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  <c r="AQ33" s="71"/>
      <c r="AR33" s="71"/>
      <c r="AS33" s="71"/>
      <c r="AT33" s="71"/>
      <c r="AU33" s="71"/>
      <c r="AV33" s="71"/>
      <c r="AW33" s="71"/>
      <c r="AX33" s="71"/>
      <c r="AY33" s="72"/>
    </row>
    <row r="34" spans="1:51" s="266" customFormat="1" x14ac:dyDescent="0.3">
      <c r="A34" s="559" t="str">
        <v/>
      </c>
      <c r="B34" s="560" t="str" cm="1">
        <f t="array" ref="B34">IF(A34="", "", _xlfn.TEXTJOIN(", "&amp;CHAR(10), TRUE, (IF(C34:AY34&lt;&gt;"",_xlfn.ANCHORARRAY( $C$2), ""))))</f>
        <v/>
      </c>
      <c r="C34" s="70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1"/>
      <c r="AW34" s="71"/>
      <c r="AX34" s="71"/>
      <c r="AY34" s="72"/>
    </row>
    <row r="35" spans="1:51" s="266" customFormat="1" x14ac:dyDescent="0.3">
      <c r="A35" s="559" t="str">
        <v/>
      </c>
      <c r="B35" s="560" t="str" cm="1">
        <f t="array" ref="B35">IF(A35="", "", _xlfn.TEXTJOIN(", "&amp;CHAR(10), TRUE, (IF(C35:AY35&lt;&gt;"",_xlfn.ANCHORARRAY( $C$2), ""))))</f>
        <v/>
      </c>
      <c r="C35" s="70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2"/>
    </row>
    <row r="36" spans="1:51" s="266" customFormat="1" x14ac:dyDescent="0.3">
      <c r="A36" s="559" t="str">
        <v/>
      </c>
      <c r="B36" s="560" t="str" cm="1">
        <f t="array" ref="B36">IF(A36="", "", _xlfn.TEXTJOIN(", "&amp;CHAR(10), TRUE, (IF(C36:AY36&lt;&gt;"",_xlfn.ANCHORARRAY( $C$2), ""))))</f>
        <v/>
      </c>
      <c r="C36" s="70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2"/>
    </row>
    <row r="37" spans="1:51" s="266" customFormat="1" x14ac:dyDescent="0.3">
      <c r="A37" s="559" t="str">
        <v/>
      </c>
      <c r="B37" s="560" t="str" cm="1">
        <f t="array" ref="B37">IF(A37="", "", _xlfn.TEXTJOIN(", "&amp;CHAR(10), TRUE, (IF(C37:AY37&lt;&gt;"",_xlfn.ANCHORARRAY( $C$2), ""))))</f>
        <v/>
      </c>
      <c r="C37" s="70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2"/>
    </row>
    <row r="38" spans="1:51" s="266" customFormat="1" x14ac:dyDescent="0.3">
      <c r="A38" s="559" t="str">
        <v/>
      </c>
      <c r="B38" s="560" t="str" cm="1">
        <f t="array" ref="B38">IF(A38="", "", _xlfn.TEXTJOIN(", "&amp;CHAR(10), TRUE, (IF(C38:AY38&lt;&gt;"",_xlfn.ANCHORARRAY( $C$2), ""))))</f>
        <v/>
      </c>
      <c r="C38" s="70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2"/>
    </row>
    <row r="39" spans="1:51" s="266" customFormat="1" x14ac:dyDescent="0.3">
      <c r="A39" s="559" t="str">
        <v/>
      </c>
      <c r="B39" s="560" t="str" cm="1">
        <f t="array" ref="B39">IF(A39="", "", _xlfn.TEXTJOIN(", "&amp;CHAR(10), TRUE, (IF(C39:AY39&lt;&gt;"",_xlfn.ANCHORARRAY( $C$2), ""))))</f>
        <v/>
      </c>
      <c r="C39" s="70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2"/>
    </row>
    <row r="40" spans="1:51" s="266" customFormat="1" x14ac:dyDescent="0.3">
      <c r="A40" s="559" t="str">
        <v/>
      </c>
      <c r="B40" s="560" t="str" cm="1">
        <f t="array" ref="B40">IF(A40="", "", _xlfn.TEXTJOIN(", "&amp;CHAR(10), TRUE, (IF(C40:AY40&lt;&gt;"",_xlfn.ANCHORARRAY( $C$2), ""))))</f>
        <v/>
      </c>
      <c r="C40" s="70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2"/>
    </row>
    <row r="41" spans="1:51" s="266" customFormat="1" x14ac:dyDescent="0.3">
      <c r="A41" s="559" t="str">
        <v/>
      </c>
      <c r="B41" s="560" t="str" cm="1">
        <f t="array" ref="B41">IF(A41="", "", _xlfn.TEXTJOIN(", "&amp;CHAR(10), TRUE, (IF(C41:AY41&lt;&gt;"",_xlfn.ANCHORARRAY( $C$2), ""))))</f>
        <v/>
      </c>
      <c r="C41" s="70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2"/>
    </row>
    <row r="42" spans="1:51" s="266" customFormat="1" x14ac:dyDescent="0.3">
      <c r="A42" s="559" t="str">
        <v/>
      </c>
      <c r="B42" s="560" t="str" cm="1">
        <f t="array" ref="B42">IF(A42="", "", _xlfn.TEXTJOIN(", "&amp;CHAR(10), TRUE, (IF(C42:AY42&lt;&gt;"",_xlfn.ANCHORARRAY( $C$2), ""))))</f>
        <v/>
      </c>
      <c r="C42" s="70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2"/>
    </row>
    <row r="43" spans="1:51" s="266" customFormat="1" x14ac:dyDescent="0.3">
      <c r="A43" s="559" t="str">
        <v/>
      </c>
      <c r="B43" s="560" t="str" cm="1">
        <f t="array" ref="B43">IF(A43="", "", _xlfn.TEXTJOIN(", "&amp;CHAR(10), TRUE, (IF(C43:AY43&lt;&gt;"",_xlfn.ANCHORARRAY( $C$2), ""))))</f>
        <v/>
      </c>
      <c r="C43" s="70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2"/>
    </row>
    <row r="44" spans="1:51" s="266" customFormat="1" x14ac:dyDescent="0.3">
      <c r="A44" s="559" t="str">
        <v/>
      </c>
      <c r="B44" s="560" t="str" cm="1">
        <f t="array" ref="B44">IF(A44="", "", _xlfn.TEXTJOIN(", "&amp;CHAR(10), TRUE, (IF(C44:AY44&lt;&gt;"",_xlfn.ANCHORARRAY( $C$2), ""))))</f>
        <v/>
      </c>
      <c r="C44" s="70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2"/>
    </row>
    <row r="45" spans="1:51" s="266" customFormat="1" x14ac:dyDescent="0.3">
      <c r="A45" s="559" t="str">
        <v/>
      </c>
      <c r="B45" s="560" t="str" cm="1">
        <f t="array" ref="B45">IF(A45="", "", _xlfn.TEXTJOIN(", "&amp;CHAR(10), TRUE, (IF(C45:AY45&lt;&gt;"",_xlfn.ANCHORARRAY( $C$2), ""))))</f>
        <v/>
      </c>
      <c r="C45" s="70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2"/>
    </row>
    <row r="46" spans="1:51" s="266" customFormat="1" x14ac:dyDescent="0.3">
      <c r="A46" s="559" t="str">
        <v/>
      </c>
      <c r="B46" s="560" t="str" cm="1">
        <f t="array" ref="B46">IF(A46="", "", _xlfn.TEXTJOIN(", "&amp;CHAR(10), TRUE, (IF(C46:AY46&lt;&gt;"",_xlfn.ANCHORARRAY( $C$2), ""))))</f>
        <v/>
      </c>
      <c r="C46" s="70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2"/>
    </row>
    <row r="47" spans="1:51" s="266" customFormat="1" x14ac:dyDescent="0.3">
      <c r="A47" s="559" t="str">
        <v/>
      </c>
      <c r="B47" s="560" t="str" cm="1">
        <f t="array" ref="B47">IF(A47="", "", _xlfn.TEXTJOIN(", "&amp;CHAR(10), TRUE, (IF(C47:AY47&lt;&gt;"",_xlfn.ANCHORARRAY( $C$2), ""))))</f>
        <v/>
      </c>
      <c r="C47" s="70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2"/>
    </row>
    <row r="48" spans="1:51" s="266" customFormat="1" x14ac:dyDescent="0.3">
      <c r="A48" s="559" t="str">
        <v/>
      </c>
      <c r="B48" s="560" t="str" cm="1">
        <f t="array" ref="B48">IF(A48="", "", _xlfn.TEXTJOIN(", "&amp;CHAR(10), TRUE, (IF(C48:AY48&lt;&gt;"",_xlfn.ANCHORARRAY( $C$2), ""))))</f>
        <v/>
      </c>
      <c r="C48" s="70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2"/>
    </row>
    <row r="49" spans="1:51" s="266" customFormat="1" x14ac:dyDescent="0.3">
      <c r="A49" s="559" t="str">
        <v/>
      </c>
      <c r="B49" s="560" t="str" cm="1">
        <f t="array" ref="B49">IF(A49="", "", _xlfn.TEXTJOIN(", "&amp;CHAR(10), TRUE, (IF(C49:AY49&lt;&gt;"",_xlfn.ANCHORARRAY( $C$2), ""))))</f>
        <v/>
      </c>
      <c r="C49" s="70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2"/>
    </row>
    <row r="50" spans="1:51" s="266" customFormat="1" x14ac:dyDescent="0.3">
      <c r="A50" s="559" t="str">
        <v/>
      </c>
      <c r="B50" s="560" t="str" cm="1">
        <f t="array" ref="B50">IF(A50="", "", _xlfn.TEXTJOIN(", "&amp;CHAR(10), TRUE, (IF(C50:AY50&lt;&gt;"",_xlfn.ANCHORARRAY( $C$2), ""))))</f>
        <v/>
      </c>
      <c r="C50" s="70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2"/>
    </row>
    <row r="51" spans="1:51" s="266" customFormat="1" x14ac:dyDescent="0.3">
      <c r="A51" s="559" t="str">
        <v/>
      </c>
      <c r="B51" s="560" t="str" cm="1">
        <f t="array" ref="B51">IF(A51="", "", _xlfn.TEXTJOIN(", "&amp;CHAR(10), TRUE, (IF(C51:AY51&lt;&gt;"",_xlfn.ANCHORARRAY( $C$2), ""))))</f>
        <v/>
      </c>
      <c r="C51" s="70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2"/>
    </row>
    <row r="52" spans="1:51" s="266" customFormat="1" x14ac:dyDescent="0.3">
      <c r="A52" s="559" t="str">
        <v/>
      </c>
      <c r="B52" s="560" t="str" cm="1">
        <f t="array" ref="B52">IF(A52="", "", _xlfn.TEXTJOIN(", "&amp;CHAR(10), TRUE, (IF(C52:AY52&lt;&gt;"",_xlfn.ANCHORARRAY( $C$2), ""))))</f>
        <v/>
      </c>
      <c r="C52" s="70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2"/>
    </row>
    <row r="53" spans="1:51" s="266" customFormat="1" x14ac:dyDescent="0.3">
      <c r="A53" s="559" t="str">
        <v/>
      </c>
      <c r="B53" s="560" t="str" cm="1">
        <f t="array" ref="B53">IF(A53="", "", _xlfn.TEXTJOIN(", "&amp;CHAR(10), TRUE, (IF(C53:AY53&lt;&gt;"",_xlfn.ANCHORARRAY( $C$2), ""))))</f>
        <v/>
      </c>
      <c r="C53" s="70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2"/>
    </row>
    <row r="54" spans="1:51" s="266" customFormat="1" ht="17.25" thickBot="1" x14ac:dyDescent="0.35">
      <c r="A54" s="561" t="str">
        <v/>
      </c>
      <c r="B54" s="562" t="str" cm="1">
        <f t="array" ref="B54">IF(A54="", "", _xlfn.TEXTJOIN(", "&amp;CHAR(10), TRUE, (IF(C54:AY54&lt;&gt;"",_xlfn.ANCHORARRAY( $C$2), ""))))</f>
        <v/>
      </c>
      <c r="C54" s="73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5"/>
    </row>
  </sheetData>
  <sheetProtection algorithmName="SHA-512" hashValue="X5V974fw+RCAhiYEMQYLQv4Qd0lgdbtVk/VqkZW3C5B1SvFL/A1BCXCSVisyeIrYGqBmSnPpA/eAI0k5ov/PAA==" saltValue="bbE3hqUqkyp5XxsqTSCgQQ==" spinCount="100000" sheet="1" objects="1" scenarios="1" formatColumns="0" formatRows="0"/>
  <protectedRanges>
    <protectedRange sqref="C6:AY54" name="Mapping_Assets_Interfaces"/>
  </protectedRanges>
  <conditionalFormatting sqref="C6:AY54">
    <cfRule type="notContainsBlanks" dxfId="21" priority="1">
      <formula>LEN(TRIM(C6))&gt;0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82DB1-9FF7-4D19-9C7C-F24425900AE8}">
  <sheetPr>
    <tabColor theme="8" tint="0.79998168889431442"/>
    <pageSetUpPr autoPageBreaks="0"/>
  </sheetPr>
  <dimension ref="A1:AY53"/>
  <sheetViews>
    <sheetView zoomScaleNormal="100" workbookViewId="0"/>
  </sheetViews>
  <sheetFormatPr defaultColWidth="20.625" defaultRowHeight="16.5" x14ac:dyDescent="0.3"/>
  <cols>
    <col min="1" max="1" width="23.875" customWidth="1"/>
  </cols>
  <sheetData>
    <row r="1" spans="1:51" ht="23.25" customHeight="1" thickBot="1" x14ac:dyDescent="0.35">
      <c r="A1" s="554" t="s">
        <v>435</v>
      </c>
    </row>
    <row r="2" spans="1:51" s="53" customFormat="1" x14ac:dyDescent="0.3">
      <c r="A2" s="64" t="s">
        <v>117</v>
      </c>
      <c r="B2" s="66" t="s">
        <v>119</v>
      </c>
      <c r="C2" s="67" t="str" cm="1">
        <f t="array" ref="C2:AY2">IF(TRANSPOSE(Entities[Entity ID
Free text])=0, "", TRANSPOSE(Entities[Entity ID
Free text]))</f>
        <v/>
      </c>
      <c r="D2" s="68" t="str">
        <v/>
      </c>
      <c r="E2" s="68" t="str">
        <v/>
      </c>
      <c r="F2" s="68" t="str">
        <v/>
      </c>
      <c r="G2" s="68" t="str">
        <v/>
      </c>
      <c r="H2" s="68" t="str">
        <v/>
      </c>
      <c r="I2" s="68" t="str">
        <v/>
      </c>
      <c r="J2" s="68" t="str">
        <v/>
      </c>
      <c r="K2" s="68" t="str">
        <v/>
      </c>
      <c r="L2" s="68" t="str">
        <v/>
      </c>
      <c r="M2" s="68" t="str">
        <v/>
      </c>
      <c r="N2" s="68" t="str">
        <v/>
      </c>
      <c r="O2" s="68" t="str">
        <v/>
      </c>
      <c r="P2" s="68" t="str">
        <v/>
      </c>
      <c r="Q2" s="68" t="str">
        <v/>
      </c>
      <c r="R2" s="68" t="str">
        <v/>
      </c>
      <c r="S2" s="68" t="str">
        <v/>
      </c>
      <c r="T2" s="68" t="str">
        <v/>
      </c>
      <c r="U2" s="68" t="str">
        <v/>
      </c>
      <c r="V2" s="68" t="str">
        <v/>
      </c>
      <c r="W2" s="68" t="str">
        <v/>
      </c>
      <c r="X2" s="68" t="str">
        <v/>
      </c>
      <c r="Y2" s="68" t="str">
        <v/>
      </c>
      <c r="Z2" s="68" t="str">
        <v/>
      </c>
      <c r="AA2" s="68" t="str">
        <v/>
      </c>
      <c r="AB2" s="68" t="str">
        <v/>
      </c>
      <c r="AC2" s="68" t="str">
        <v/>
      </c>
      <c r="AD2" s="68" t="str">
        <v/>
      </c>
      <c r="AE2" s="68" t="str">
        <v/>
      </c>
      <c r="AF2" s="68" t="str">
        <v/>
      </c>
      <c r="AG2" s="68" t="str">
        <v/>
      </c>
      <c r="AH2" s="68" t="str">
        <v/>
      </c>
      <c r="AI2" s="68" t="str">
        <v/>
      </c>
      <c r="AJ2" s="68" t="str">
        <v/>
      </c>
      <c r="AK2" s="68" t="str">
        <v/>
      </c>
      <c r="AL2" s="68" t="str">
        <v/>
      </c>
      <c r="AM2" s="68" t="str">
        <v/>
      </c>
      <c r="AN2" s="68" t="str">
        <v/>
      </c>
      <c r="AO2" s="68" t="str">
        <v/>
      </c>
      <c r="AP2" s="68" t="str">
        <v/>
      </c>
      <c r="AQ2" s="68" t="str">
        <v/>
      </c>
      <c r="AR2" s="68" t="str">
        <v/>
      </c>
      <c r="AS2" s="68" t="str">
        <v/>
      </c>
      <c r="AT2" s="68" t="str">
        <v/>
      </c>
      <c r="AU2" s="68" t="str">
        <v/>
      </c>
      <c r="AV2" s="68" t="str">
        <v/>
      </c>
      <c r="AW2" s="68" t="str">
        <v/>
      </c>
      <c r="AX2" s="68" t="str">
        <v/>
      </c>
      <c r="AY2" s="69" t="str">
        <v/>
      </c>
    </row>
    <row r="3" spans="1:51" s="53" customFormat="1" ht="78.75" customHeight="1" x14ac:dyDescent="0.3">
      <c r="A3" s="65" t="s">
        <v>433</v>
      </c>
      <c r="B3" s="59" t="s">
        <v>126</v>
      </c>
      <c r="C3" s="58" t="str" cm="1">
        <f t="array" ref="C3">IF(C2="", "", _xlfn.TEXTJOIN(", "&amp;CHAR(10), TRUE, _xlfn.UNIQUE((IF(C5:C53&lt;&gt;"", IF(_xlfn.ANCHORARRAY($A5)=Assets[Asset ID
Free text], Assets[Type of asset
Dropdown menu], ""),"")))))</f>
        <v/>
      </c>
      <c r="D3" s="76" t="str" cm="1">
        <f t="array" ref="D3">IF(D2="", "", _xlfn.TEXTJOIN(", "&amp;CHAR(10), TRUE, _xlfn.UNIQUE((IF(D5:D53&lt;&gt;"", IF(_xlfn.ANCHORARRAY($A5)=Assets[Asset ID
Free text], Assets[Type of asset
Dropdown menu], ""),"")))))</f>
        <v/>
      </c>
      <c r="E3" s="76" t="str" cm="1">
        <f t="array" ref="E3">IF(E2="", "", _xlfn.TEXTJOIN(", "&amp;CHAR(10), TRUE, _xlfn.UNIQUE((IF(E5:E53&lt;&gt;"", IF(_xlfn.ANCHORARRAY($A5)=Assets[Asset ID
Free text], Assets[Type of asset
Dropdown menu], ""),"")))))</f>
        <v/>
      </c>
      <c r="F3" s="76" t="str" cm="1">
        <f t="array" ref="F3">IF(F2="", "", _xlfn.TEXTJOIN(", "&amp;CHAR(10), TRUE, _xlfn.UNIQUE((IF(F5:F53&lt;&gt;"", IF(_xlfn.ANCHORARRAY($A5)=Assets[Asset ID
Free text], Assets[Type of asset
Dropdown menu], ""),"")))))</f>
        <v/>
      </c>
      <c r="G3" s="76" t="str" cm="1">
        <f t="array" ref="G3">IF(G2="", "", _xlfn.TEXTJOIN(", "&amp;CHAR(10), TRUE, _xlfn.UNIQUE((IF(G5:G53&lt;&gt;"", IF(_xlfn.ANCHORARRAY($A5)=Assets[Asset ID
Free text], Assets[Type of asset
Dropdown menu], ""),"")))))</f>
        <v/>
      </c>
      <c r="H3" s="76" t="str" cm="1">
        <f t="array" ref="H3">IF(H2="", "", _xlfn.TEXTJOIN(", "&amp;CHAR(10), TRUE, _xlfn.UNIQUE((IF(H5:H53&lt;&gt;"", IF(_xlfn.ANCHORARRAY($A5)=Assets[Asset ID
Free text], Assets[Type of asset
Dropdown menu], ""),"")))))</f>
        <v/>
      </c>
      <c r="I3" s="76" t="str" cm="1">
        <f t="array" ref="I3">IF(I2="", "", _xlfn.TEXTJOIN(", "&amp;CHAR(10), TRUE, _xlfn.UNIQUE((IF(I5:I53&lt;&gt;"", IF(_xlfn.ANCHORARRAY($A5)=Assets[Asset ID
Free text], Assets[Type of asset
Dropdown menu], ""),"")))))</f>
        <v/>
      </c>
      <c r="J3" s="76" t="str" cm="1">
        <f t="array" ref="J3">IF(J2="", "", _xlfn.TEXTJOIN(", "&amp;CHAR(10), TRUE, _xlfn.UNIQUE((IF(J5:J53&lt;&gt;"", IF(_xlfn.ANCHORARRAY($A5)=Assets[Asset ID
Free text], Assets[Type of asset
Dropdown menu], ""),"")))))</f>
        <v/>
      </c>
      <c r="K3" s="76" t="str" cm="1">
        <f t="array" ref="K3">IF(K2="", "", _xlfn.TEXTJOIN(", "&amp;CHAR(10), TRUE, _xlfn.UNIQUE((IF(K5:K53&lt;&gt;"", IF(_xlfn.ANCHORARRAY($A5)=Assets[Asset ID
Free text], Assets[Type of asset
Dropdown menu], ""),"")))))</f>
        <v/>
      </c>
      <c r="L3" s="76" t="str" cm="1">
        <f t="array" ref="L3">IF(L2="", "", _xlfn.TEXTJOIN(", "&amp;CHAR(10), TRUE, _xlfn.UNIQUE((IF(L5:L53&lt;&gt;"", IF(_xlfn.ANCHORARRAY($A5)=Assets[Asset ID
Free text], Assets[Type of asset
Dropdown menu], ""),"")))))</f>
        <v/>
      </c>
      <c r="M3" s="76" t="str" cm="1">
        <f t="array" ref="M3">IF(M2="", "", _xlfn.TEXTJOIN(", "&amp;CHAR(10), TRUE, _xlfn.UNIQUE((IF(M5:M53&lt;&gt;"", IF(_xlfn.ANCHORARRAY($A5)=Assets[Asset ID
Free text], Assets[Type of asset
Dropdown menu], ""),"")))))</f>
        <v/>
      </c>
      <c r="N3" s="76" t="str" cm="1">
        <f t="array" ref="N3">IF(N2="", "", _xlfn.TEXTJOIN(", "&amp;CHAR(10), TRUE, _xlfn.UNIQUE((IF(N5:N53&lt;&gt;"", IF(_xlfn.ANCHORARRAY($A5)=Assets[Asset ID
Free text], Assets[Type of asset
Dropdown menu], ""),"")))))</f>
        <v/>
      </c>
      <c r="O3" s="76" t="str" cm="1">
        <f t="array" ref="O3">IF(O2="", "", _xlfn.TEXTJOIN(", "&amp;CHAR(10), TRUE, _xlfn.UNIQUE((IF(O5:O53&lt;&gt;"", IF(_xlfn.ANCHORARRAY($A5)=Assets[Asset ID
Free text], Assets[Type of asset
Dropdown menu], ""),"")))))</f>
        <v/>
      </c>
      <c r="P3" s="76" t="str" cm="1">
        <f t="array" ref="P3">IF(P2="", "", _xlfn.TEXTJOIN(", "&amp;CHAR(10), TRUE, _xlfn.UNIQUE((IF(P5:P53&lt;&gt;"", IF(_xlfn.ANCHORARRAY($A5)=Assets[Asset ID
Free text], Assets[Type of asset
Dropdown menu], ""),"")))))</f>
        <v/>
      </c>
      <c r="Q3" s="76" t="str" cm="1">
        <f t="array" ref="Q3">IF(Q2="", "", _xlfn.TEXTJOIN(", "&amp;CHAR(10), TRUE, _xlfn.UNIQUE((IF(Q5:Q53&lt;&gt;"", IF(_xlfn.ANCHORARRAY($A5)=Assets[Asset ID
Free text], Assets[Type of asset
Dropdown menu], ""),"")))))</f>
        <v/>
      </c>
      <c r="R3" s="76" t="str" cm="1">
        <f t="array" ref="R3">IF(R2="", "", _xlfn.TEXTJOIN(", "&amp;CHAR(10), TRUE, _xlfn.UNIQUE((IF(R5:R53&lt;&gt;"", IF(_xlfn.ANCHORARRAY($A5)=Assets[Asset ID
Free text], Assets[Type of asset
Dropdown menu], ""),"")))))</f>
        <v/>
      </c>
      <c r="S3" s="76" t="str" cm="1">
        <f t="array" ref="S3">IF(S2="", "", _xlfn.TEXTJOIN(", "&amp;CHAR(10), TRUE, _xlfn.UNIQUE((IF(S5:S53&lt;&gt;"", IF(_xlfn.ANCHORARRAY($A5)=Assets[Asset ID
Free text], Assets[Type of asset
Dropdown menu], ""),"")))))</f>
        <v/>
      </c>
      <c r="T3" s="76" t="str" cm="1">
        <f t="array" ref="T3">IF(T2="", "", _xlfn.TEXTJOIN(", "&amp;CHAR(10), TRUE, _xlfn.UNIQUE((IF(T5:T53&lt;&gt;"", IF(_xlfn.ANCHORARRAY($A5)=Assets[Asset ID
Free text], Assets[Type of asset
Dropdown menu], ""),"")))))</f>
        <v/>
      </c>
      <c r="U3" s="76" t="str" cm="1">
        <f t="array" ref="U3">IF(U2="", "", _xlfn.TEXTJOIN(", "&amp;CHAR(10), TRUE, _xlfn.UNIQUE((IF(U5:U53&lt;&gt;"", IF(_xlfn.ANCHORARRAY($A5)=Assets[Asset ID
Free text], Assets[Type of asset
Dropdown menu], ""),"")))))</f>
        <v/>
      </c>
      <c r="V3" s="76" t="str" cm="1">
        <f t="array" ref="V3">IF(V2="", "", _xlfn.TEXTJOIN(", "&amp;CHAR(10), TRUE, _xlfn.UNIQUE((IF(V5:V53&lt;&gt;"", IF(_xlfn.ANCHORARRAY($A5)=Assets[Asset ID
Free text], Assets[Type of asset
Dropdown menu], ""),"")))))</f>
        <v/>
      </c>
      <c r="W3" s="76" t="str" cm="1">
        <f t="array" ref="W3">IF(W2="", "", _xlfn.TEXTJOIN(", "&amp;CHAR(10), TRUE, _xlfn.UNIQUE((IF(W5:W53&lt;&gt;"", IF(_xlfn.ANCHORARRAY($A5)=Assets[Asset ID
Free text], Assets[Type of asset
Dropdown menu], ""),"")))))</f>
        <v/>
      </c>
      <c r="X3" s="76" t="str" cm="1">
        <f t="array" ref="X3">IF(X2="", "", _xlfn.TEXTJOIN(", "&amp;CHAR(10), TRUE, _xlfn.UNIQUE((IF(X5:X53&lt;&gt;"", IF(_xlfn.ANCHORARRAY($A5)=Assets[Asset ID
Free text], Assets[Type of asset
Dropdown menu], ""),"")))))</f>
        <v/>
      </c>
      <c r="Y3" s="76" t="str" cm="1">
        <f t="array" ref="Y3">IF(Y2="", "", _xlfn.TEXTJOIN(", "&amp;CHAR(10), TRUE, _xlfn.UNIQUE((IF(Y5:Y53&lt;&gt;"", IF(_xlfn.ANCHORARRAY($A5)=Assets[Asset ID
Free text], Assets[Type of asset
Dropdown menu], ""),"")))))</f>
        <v/>
      </c>
      <c r="Z3" s="76" t="str" cm="1">
        <f t="array" ref="Z3">IF(Z2="", "", _xlfn.TEXTJOIN(", "&amp;CHAR(10), TRUE, _xlfn.UNIQUE((IF(Z5:Z53&lt;&gt;"", IF(_xlfn.ANCHORARRAY($A5)=Assets[Asset ID
Free text], Assets[Type of asset
Dropdown menu], ""),"")))))</f>
        <v/>
      </c>
      <c r="AA3" s="76" t="str" cm="1">
        <f t="array" ref="AA3">IF(AA2="", "", _xlfn.TEXTJOIN(", "&amp;CHAR(10), TRUE, _xlfn.UNIQUE((IF(AA5:AA53&lt;&gt;"", IF(_xlfn.ANCHORARRAY($A5)=Assets[Asset ID
Free text], Assets[Type of asset
Dropdown menu], ""),"")))))</f>
        <v/>
      </c>
      <c r="AB3" s="76" t="str" cm="1">
        <f t="array" ref="AB3">IF(AB2="", "", _xlfn.TEXTJOIN(", "&amp;CHAR(10), TRUE, _xlfn.UNIQUE((IF(AB5:AB53&lt;&gt;"", IF(_xlfn.ANCHORARRAY($A5)=Assets[Asset ID
Free text], Assets[Type of asset
Dropdown menu], ""),"")))))</f>
        <v/>
      </c>
      <c r="AC3" s="76" t="str" cm="1">
        <f t="array" ref="AC3">IF(AC2="", "", _xlfn.TEXTJOIN(", "&amp;CHAR(10), TRUE, _xlfn.UNIQUE((IF(AC5:AC53&lt;&gt;"", IF(_xlfn.ANCHORARRAY($A5)=Assets[Asset ID
Free text], Assets[Type of asset
Dropdown menu], ""),"")))))</f>
        <v/>
      </c>
      <c r="AD3" s="76" t="str" cm="1">
        <f t="array" ref="AD3">IF(AD2="", "", _xlfn.TEXTJOIN(", "&amp;CHAR(10), TRUE, _xlfn.UNIQUE((IF(AD5:AD53&lt;&gt;"", IF(_xlfn.ANCHORARRAY($A5)=Assets[Asset ID
Free text], Assets[Type of asset
Dropdown menu], ""),"")))))</f>
        <v/>
      </c>
      <c r="AE3" s="76" t="str" cm="1">
        <f t="array" ref="AE3">IF(AE2="", "", _xlfn.TEXTJOIN(", "&amp;CHAR(10), TRUE, _xlfn.UNIQUE((IF(AE5:AE53&lt;&gt;"", IF(_xlfn.ANCHORARRAY($A5)=Assets[Asset ID
Free text], Assets[Type of asset
Dropdown menu], ""),"")))))</f>
        <v/>
      </c>
      <c r="AF3" s="76" t="str" cm="1">
        <f t="array" ref="AF3">IF(AF2="", "", _xlfn.TEXTJOIN(", "&amp;CHAR(10), TRUE, _xlfn.UNIQUE((IF(AF5:AF53&lt;&gt;"", IF(_xlfn.ANCHORARRAY($A5)=Assets[Asset ID
Free text], Assets[Type of asset
Dropdown menu], ""),"")))))</f>
        <v/>
      </c>
      <c r="AG3" s="76" t="str" cm="1">
        <f t="array" ref="AG3">IF(AG2="", "", _xlfn.TEXTJOIN(", "&amp;CHAR(10), TRUE, _xlfn.UNIQUE((IF(AG5:AG53&lt;&gt;"", IF(_xlfn.ANCHORARRAY($A5)=Assets[Asset ID
Free text], Assets[Type of asset
Dropdown menu], ""),"")))))</f>
        <v/>
      </c>
      <c r="AH3" s="76" t="str" cm="1">
        <f t="array" ref="AH3">IF(AH2="", "", _xlfn.TEXTJOIN(", "&amp;CHAR(10), TRUE, _xlfn.UNIQUE((IF(AH5:AH53&lt;&gt;"", IF(_xlfn.ANCHORARRAY($A5)=Assets[Asset ID
Free text], Assets[Type of asset
Dropdown menu], ""),"")))))</f>
        <v/>
      </c>
      <c r="AI3" s="76" t="str" cm="1">
        <f t="array" ref="AI3">IF(AI2="", "", _xlfn.TEXTJOIN(", "&amp;CHAR(10), TRUE, _xlfn.UNIQUE((IF(AI5:AI53&lt;&gt;"", IF(_xlfn.ANCHORARRAY($A5)=Assets[Asset ID
Free text], Assets[Type of asset
Dropdown menu], ""),"")))))</f>
        <v/>
      </c>
      <c r="AJ3" s="76" t="str" cm="1">
        <f t="array" ref="AJ3">IF(AJ2="", "", _xlfn.TEXTJOIN(", "&amp;CHAR(10), TRUE, _xlfn.UNIQUE((IF(AJ5:AJ53&lt;&gt;"", IF(_xlfn.ANCHORARRAY($A5)=Assets[Asset ID
Free text], Assets[Type of asset
Dropdown menu], ""),"")))))</f>
        <v/>
      </c>
      <c r="AK3" s="76" t="str" cm="1">
        <f t="array" ref="AK3">IF(AK2="", "", _xlfn.TEXTJOIN(", "&amp;CHAR(10), TRUE, _xlfn.UNIQUE((IF(AK5:AK53&lt;&gt;"", IF(_xlfn.ANCHORARRAY($A5)=Assets[Asset ID
Free text], Assets[Type of asset
Dropdown menu], ""),"")))))</f>
        <v/>
      </c>
      <c r="AL3" s="76" t="str" cm="1">
        <f t="array" ref="AL3">IF(AL2="", "", _xlfn.TEXTJOIN(", "&amp;CHAR(10), TRUE, _xlfn.UNIQUE((IF(AL5:AL53&lt;&gt;"", IF(_xlfn.ANCHORARRAY($A5)=Assets[Asset ID
Free text], Assets[Type of asset
Dropdown menu], ""),"")))))</f>
        <v/>
      </c>
      <c r="AM3" s="76" t="str" cm="1">
        <f t="array" ref="AM3">IF(AM2="", "", _xlfn.TEXTJOIN(", "&amp;CHAR(10), TRUE, _xlfn.UNIQUE((IF(AM5:AM53&lt;&gt;"", IF(_xlfn.ANCHORARRAY($A5)=Assets[Asset ID
Free text], Assets[Type of asset
Dropdown menu], ""),"")))))</f>
        <v/>
      </c>
      <c r="AN3" s="76" t="str" cm="1">
        <f t="array" ref="AN3">IF(AN2="", "", _xlfn.TEXTJOIN(", "&amp;CHAR(10), TRUE, _xlfn.UNIQUE((IF(AN5:AN53&lt;&gt;"", IF(_xlfn.ANCHORARRAY($A5)=Assets[Asset ID
Free text], Assets[Type of asset
Dropdown menu], ""),"")))))</f>
        <v/>
      </c>
      <c r="AO3" s="76" t="str" cm="1">
        <f t="array" ref="AO3">IF(AO2="", "", _xlfn.TEXTJOIN(", "&amp;CHAR(10), TRUE, _xlfn.UNIQUE((IF(AO5:AO53&lt;&gt;"", IF(_xlfn.ANCHORARRAY($A5)=Assets[Asset ID
Free text], Assets[Type of asset
Dropdown menu], ""),"")))))</f>
        <v/>
      </c>
      <c r="AP3" s="76" t="str" cm="1">
        <f t="array" ref="AP3">IF(AP2="", "", _xlfn.TEXTJOIN(", "&amp;CHAR(10), TRUE, _xlfn.UNIQUE((IF(AP5:AP53&lt;&gt;"", IF(_xlfn.ANCHORARRAY($A5)=Assets[Asset ID
Free text], Assets[Type of asset
Dropdown menu], ""),"")))))</f>
        <v/>
      </c>
      <c r="AQ3" s="76" t="str" cm="1">
        <f t="array" ref="AQ3">IF(AQ2="", "", _xlfn.TEXTJOIN(", "&amp;CHAR(10), TRUE, _xlfn.UNIQUE((IF(AQ5:AQ53&lt;&gt;"", IF(_xlfn.ANCHORARRAY($A5)=Assets[Asset ID
Free text], Assets[Type of asset
Dropdown menu], ""),"")))))</f>
        <v/>
      </c>
      <c r="AR3" s="76" t="str" cm="1">
        <f t="array" ref="AR3">IF(AR2="", "", _xlfn.TEXTJOIN(", "&amp;CHAR(10), TRUE, _xlfn.UNIQUE((IF(AR5:AR53&lt;&gt;"", IF(_xlfn.ANCHORARRAY($A5)=Assets[Asset ID
Free text], Assets[Type of asset
Dropdown menu], ""),"")))))</f>
        <v/>
      </c>
      <c r="AS3" s="76" t="str" cm="1">
        <f t="array" ref="AS3">IF(AS2="", "", _xlfn.TEXTJOIN(", "&amp;CHAR(10), TRUE, _xlfn.UNIQUE((IF(AS5:AS53&lt;&gt;"", IF(_xlfn.ANCHORARRAY($A5)=Assets[Asset ID
Free text], Assets[Type of asset
Dropdown menu], ""),"")))))</f>
        <v/>
      </c>
      <c r="AT3" s="76" t="str" cm="1">
        <f t="array" ref="AT3">IF(AT2="", "", _xlfn.TEXTJOIN(", "&amp;CHAR(10), TRUE, _xlfn.UNIQUE((IF(AT5:AT53&lt;&gt;"", IF(_xlfn.ANCHORARRAY($A5)=Assets[Asset ID
Free text], Assets[Type of asset
Dropdown menu], ""),"")))))</f>
        <v/>
      </c>
      <c r="AU3" s="76" t="str" cm="1">
        <f t="array" ref="AU3">IF(AU2="", "", _xlfn.TEXTJOIN(", "&amp;CHAR(10), TRUE, _xlfn.UNIQUE((IF(AU5:AU53&lt;&gt;"", IF(_xlfn.ANCHORARRAY($A5)=Assets[Asset ID
Free text], Assets[Type of asset
Dropdown menu], ""),"")))))</f>
        <v/>
      </c>
      <c r="AV3" s="76" t="str" cm="1">
        <f t="array" ref="AV3">IF(AV2="", "", _xlfn.TEXTJOIN(", "&amp;CHAR(10), TRUE, _xlfn.UNIQUE((IF(AV5:AV53&lt;&gt;"", IF(_xlfn.ANCHORARRAY($A5)=Assets[Asset ID
Free text], Assets[Type of asset
Dropdown menu], ""),"")))))</f>
        <v/>
      </c>
      <c r="AW3" s="76" t="str" cm="1">
        <f t="array" ref="AW3">IF(AW2="", "", _xlfn.TEXTJOIN(", "&amp;CHAR(10), TRUE, _xlfn.UNIQUE((IF(AW5:AW53&lt;&gt;"", IF(_xlfn.ANCHORARRAY($A5)=Assets[Asset ID
Free text], Assets[Type of asset
Dropdown menu], ""),"")))))</f>
        <v/>
      </c>
      <c r="AX3" s="76" t="str" cm="1">
        <f t="array" ref="AX3">IF(AX2="", "", _xlfn.TEXTJOIN(", "&amp;CHAR(10), TRUE, _xlfn.UNIQUE((IF(AX5:AX53&lt;&gt;"", IF(_xlfn.ANCHORARRAY($A5)=Assets[Asset ID
Free text], Assets[Type of asset
Dropdown menu], ""),"")))))</f>
        <v/>
      </c>
      <c r="AY3" s="80" t="str" cm="1">
        <f t="array" ref="AY3">IF(AY2="", "", _xlfn.TEXTJOIN(", "&amp;CHAR(10), TRUE, _xlfn.UNIQUE((IF(AY5:AY53&lt;&gt;"", IF(_xlfn.ANCHORARRAY($A5)=Assets[Asset ID
Free text], Assets[Type of asset
Dropdown menu], ""),"")))))</f>
        <v/>
      </c>
    </row>
    <row r="4" spans="1:51" s="53" customFormat="1" ht="49.5" x14ac:dyDescent="0.3">
      <c r="A4" s="65"/>
      <c r="B4" s="555" t="s">
        <v>434</v>
      </c>
      <c r="C4" s="556" t="str" cm="1">
        <f t="array" ref="C4">IF(C2="", "", _xlfn.TEXTJOIN(", "&amp;CHAR(10), TRUE, (IF(C5:C53&lt;&gt;"",_xlfn.ANCHORARRAY( $A$5), ""))))</f>
        <v/>
      </c>
      <c r="D4" s="557" t="str" cm="1">
        <f t="array" ref="D4">IF(D2="", "", _xlfn.TEXTJOIN(", "&amp;CHAR(10), TRUE, (IF(D5:D53&lt;&gt;"",_xlfn.ANCHORARRAY( $A$5), ""))))</f>
        <v/>
      </c>
      <c r="E4" s="557" t="str" cm="1">
        <f t="array" ref="E4">IF(E2="", "", _xlfn.TEXTJOIN(", "&amp;CHAR(10), TRUE, (IF(E5:E53&lt;&gt;"",_xlfn.ANCHORARRAY( $A$5), ""))))</f>
        <v/>
      </c>
      <c r="F4" s="557" t="str" cm="1">
        <f t="array" ref="F4">IF(F2="", "", _xlfn.TEXTJOIN(", "&amp;CHAR(10), TRUE, (IF(F5:F53&lt;&gt;"",_xlfn.ANCHORARRAY( $A$5), ""))))</f>
        <v/>
      </c>
      <c r="G4" s="557" t="str" cm="1">
        <f t="array" ref="G4">IF(G2="", "", _xlfn.TEXTJOIN(", "&amp;CHAR(10), TRUE, (IF(G5:G53&lt;&gt;"",_xlfn.ANCHORARRAY( $A$5), ""))))</f>
        <v/>
      </c>
      <c r="H4" s="557" t="str" cm="1">
        <f t="array" ref="H4">IF(H2="", "", _xlfn.TEXTJOIN(", "&amp;CHAR(10), TRUE, (IF(H5:H53&lt;&gt;"",_xlfn.ANCHORARRAY( $A$5), ""))))</f>
        <v/>
      </c>
      <c r="I4" s="557" t="str" cm="1">
        <f t="array" ref="I4">IF(I2="", "", _xlfn.TEXTJOIN(", "&amp;CHAR(10), TRUE, (IF(I5:I53&lt;&gt;"",_xlfn.ANCHORARRAY( $A$5), ""))))</f>
        <v/>
      </c>
      <c r="J4" s="557" t="str" cm="1">
        <f t="array" ref="J4">IF(J2="", "", _xlfn.TEXTJOIN(", "&amp;CHAR(10), TRUE, (IF(J5:J53&lt;&gt;"",_xlfn.ANCHORARRAY( $A$5), ""))))</f>
        <v/>
      </c>
      <c r="K4" s="557" t="str" cm="1">
        <f t="array" ref="K4">IF(K2="", "", _xlfn.TEXTJOIN(", "&amp;CHAR(10), TRUE, (IF(K5:K53&lt;&gt;"",_xlfn.ANCHORARRAY( $A$5), ""))))</f>
        <v/>
      </c>
      <c r="L4" s="557" t="str" cm="1">
        <f t="array" ref="L4">IF(L2="", "", _xlfn.TEXTJOIN(", "&amp;CHAR(10), TRUE, (IF(L5:L53&lt;&gt;"",_xlfn.ANCHORARRAY( $A$5), ""))))</f>
        <v/>
      </c>
      <c r="M4" s="557" t="str" cm="1">
        <f t="array" ref="M4">IF(M2="", "", _xlfn.TEXTJOIN(", "&amp;CHAR(10), TRUE, (IF(M5:M53&lt;&gt;"",_xlfn.ANCHORARRAY( $A$5), ""))))</f>
        <v/>
      </c>
      <c r="N4" s="557" t="str" cm="1">
        <f t="array" ref="N4">IF(N2="", "", _xlfn.TEXTJOIN(", "&amp;CHAR(10), TRUE, (IF(N5:N53&lt;&gt;"",_xlfn.ANCHORARRAY( $A$5), ""))))</f>
        <v/>
      </c>
      <c r="O4" s="557" t="str" cm="1">
        <f t="array" ref="O4">IF(O2="", "", _xlfn.TEXTJOIN(", "&amp;CHAR(10), TRUE, (IF(O5:O53&lt;&gt;"",_xlfn.ANCHORARRAY( $A$5), ""))))</f>
        <v/>
      </c>
      <c r="P4" s="557" t="str" cm="1">
        <f t="array" ref="P4">IF(P2="", "", _xlfn.TEXTJOIN(", "&amp;CHAR(10), TRUE, (IF(P5:P53&lt;&gt;"",_xlfn.ANCHORARRAY( $A$5), ""))))</f>
        <v/>
      </c>
      <c r="Q4" s="557" t="str" cm="1">
        <f t="array" ref="Q4">IF(Q2="", "", _xlfn.TEXTJOIN(", "&amp;CHAR(10), TRUE, (IF(Q5:Q53&lt;&gt;"",_xlfn.ANCHORARRAY( $A$5), ""))))</f>
        <v/>
      </c>
      <c r="R4" s="557" t="str" cm="1">
        <f t="array" ref="R4">IF(R2="", "", _xlfn.TEXTJOIN(", "&amp;CHAR(10), TRUE, (IF(R5:R53&lt;&gt;"",_xlfn.ANCHORARRAY( $A$5), ""))))</f>
        <v/>
      </c>
      <c r="S4" s="557" t="str" cm="1">
        <f t="array" ref="S4">IF(S2="", "", _xlfn.TEXTJOIN(", "&amp;CHAR(10), TRUE, (IF(S5:S53&lt;&gt;"",_xlfn.ANCHORARRAY( $A$5), ""))))</f>
        <v/>
      </c>
      <c r="T4" s="557" t="str" cm="1">
        <f t="array" ref="T4">IF(T2="", "", _xlfn.TEXTJOIN(", "&amp;CHAR(10), TRUE, (IF(T5:T53&lt;&gt;"",_xlfn.ANCHORARRAY( $A$5), ""))))</f>
        <v/>
      </c>
      <c r="U4" s="557" t="str" cm="1">
        <f t="array" ref="U4">IF(U2="", "", _xlfn.TEXTJOIN(", "&amp;CHAR(10), TRUE, (IF(U5:U53&lt;&gt;"",_xlfn.ANCHORARRAY( $A$5), ""))))</f>
        <v/>
      </c>
      <c r="V4" s="557" t="str" cm="1">
        <f t="array" ref="V4">IF(V2="", "", _xlfn.TEXTJOIN(", "&amp;CHAR(10), TRUE, (IF(V5:V53&lt;&gt;"",_xlfn.ANCHORARRAY( $A$5), ""))))</f>
        <v/>
      </c>
      <c r="W4" s="557" t="str" cm="1">
        <f t="array" ref="W4">IF(W2="", "", _xlfn.TEXTJOIN(", "&amp;CHAR(10), TRUE, (IF(W5:W53&lt;&gt;"",_xlfn.ANCHORARRAY( $A$5), ""))))</f>
        <v/>
      </c>
      <c r="X4" s="557" t="str" cm="1">
        <f t="array" ref="X4">IF(X2="", "", _xlfn.TEXTJOIN(", "&amp;CHAR(10), TRUE, (IF(X5:X53&lt;&gt;"",_xlfn.ANCHORARRAY( $A$5), ""))))</f>
        <v/>
      </c>
      <c r="Y4" s="557" t="str" cm="1">
        <f t="array" ref="Y4">IF(Y2="", "", _xlfn.TEXTJOIN(", "&amp;CHAR(10), TRUE, (IF(Y5:Y53&lt;&gt;"",_xlfn.ANCHORARRAY( $A$5), ""))))</f>
        <v/>
      </c>
      <c r="Z4" s="557" t="str" cm="1">
        <f t="array" ref="Z4">IF(Z2="", "", _xlfn.TEXTJOIN(", "&amp;CHAR(10), TRUE, (IF(Z5:Z53&lt;&gt;"",_xlfn.ANCHORARRAY( $A$5), ""))))</f>
        <v/>
      </c>
      <c r="AA4" s="557" t="str" cm="1">
        <f t="array" ref="AA4">IF(AA2="", "", _xlfn.TEXTJOIN(", "&amp;CHAR(10), TRUE, (IF(AA5:AA53&lt;&gt;"",_xlfn.ANCHORARRAY( $A$5), ""))))</f>
        <v/>
      </c>
      <c r="AB4" s="557" t="str" cm="1">
        <f t="array" ref="AB4">IF(AB2="", "", _xlfn.TEXTJOIN(", "&amp;CHAR(10), TRUE, (IF(AB5:AB53&lt;&gt;"",_xlfn.ANCHORARRAY( $A$5), ""))))</f>
        <v/>
      </c>
      <c r="AC4" s="557" t="str" cm="1">
        <f t="array" ref="AC4">IF(AC2="", "", _xlfn.TEXTJOIN(", "&amp;CHAR(10), TRUE, (IF(AC5:AC53&lt;&gt;"",_xlfn.ANCHORARRAY( $A$5), ""))))</f>
        <v/>
      </c>
      <c r="AD4" s="557" t="str" cm="1">
        <f t="array" ref="AD4">IF(AD2="", "", _xlfn.TEXTJOIN(", "&amp;CHAR(10), TRUE, (IF(AD5:AD53&lt;&gt;"",_xlfn.ANCHORARRAY( $A$5), ""))))</f>
        <v/>
      </c>
      <c r="AE4" s="557" t="str" cm="1">
        <f t="array" ref="AE4">IF(AE2="", "", _xlfn.TEXTJOIN(", "&amp;CHAR(10), TRUE, (IF(AE5:AE53&lt;&gt;"",_xlfn.ANCHORARRAY( $A$5), ""))))</f>
        <v/>
      </c>
      <c r="AF4" s="557" t="str" cm="1">
        <f t="array" ref="AF4">IF(AF2="", "", _xlfn.TEXTJOIN(", "&amp;CHAR(10), TRUE, (IF(AF5:AF53&lt;&gt;"",_xlfn.ANCHORARRAY( $A$5), ""))))</f>
        <v/>
      </c>
      <c r="AG4" s="557" t="str" cm="1">
        <f t="array" ref="AG4">IF(AG2="", "", _xlfn.TEXTJOIN(", "&amp;CHAR(10), TRUE, (IF(AG5:AG53&lt;&gt;"",_xlfn.ANCHORARRAY( $A$5), ""))))</f>
        <v/>
      </c>
      <c r="AH4" s="557" t="str" cm="1">
        <f t="array" ref="AH4">IF(AH2="", "", _xlfn.TEXTJOIN(", "&amp;CHAR(10), TRUE, (IF(AH5:AH53&lt;&gt;"",_xlfn.ANCHORARRAY( $A$5), ""))))</f>
        <v/>
      </c>
      <c r="AI4" s="557" t="str" cm="1">
        <f t="array" ref="AI4">IF(AI2="", "", _xlfn.TEXTJOIN(", "&amp;CHAR(10), TRUE, (IF(AI5:AI53&lt;&gt;"",_xlfn.ANCHORARRAY( $A$5), ""))))</f>
        <v/>
      </c>
      <c r="AJ4" s="557" t="str" cm="1">
        <f t="array" ref="AJ4">IF(AJ2="", "", _xlfn.TEXTJOIN(", "&amp;CHAR(10), TRUE, (IF(AJ5:AJ53&lt;&gt;"",_xlfn.ANCHORARRAY( $A$5), ""))))</f>
        <v/>
      </c>
      <c r="AK4" s="557" t="str" cm="1">
        <f t="array" ref="AK4">IF(AK2="", "", _xlfn.TEXTJOIN(", "&amp;CHAR(10), TRUE, (IF(AK5:AK53&lt;&gt;"",_xlfn.ANCHORARRAY( $A$5), ""))))</f>
        <v/>
      </c>
      <c r="AL4" s="557" t="str" cm="1">
        <f t="array" ref="AL4">IF(AL2="", "", _xlfn.TEXTJOIN(", "&amp;CHAR(10), TRUE, (IF(AL5:AL53&lt;&gt;"",_xlfn.ANCHORARRAY( $A$5), ""))))</f>
        <v/>
      </c>
      <c r="AM4" s="557" t="str" cm="1">
        <f t="array" ref="AM4">IF(AM2="", "", _xlfn.TEXTJOIN(", "&amp;CHAR(10), TRUE, (IF(AM5:AM53&lt;&gt;"",_xlfn.ANCHORARRAY( $A$5), ""))))</f>
        <v/>
      </c>
      <c r="AN4" s="557" t="str" cm="1">
        <f t="array" ref="AN4">IF(AN2="", "", _xlfn.TEXTJOIN(", "&amp;CHAR(10), TRUE, (IF(AN5:AN53&lt;&gt;"",_xlfn.ANCHORARRAY( $A$5), ""))))</f>
        <v/>
      </c>
      <c r="AO4" s="557" t="str" cm="1">
        <f t="array" ref="AO4">IF(AO2="", "", _xlfn.TEXTJOIN(", "&amp;CHAR(10), TRUE, (IF(AO5:AO53&lt;&gt;"",_xlfn.ANCHORARRAY( $A$5), ""))))</f>
        <v/>
      </c>
      <c r="AP4" s="557" t="str" cm="1">
        <f t="array" ref="AP4">IF(AP2="", "", _xlfn.TEXTJOIN(", "&amp;CHAR(10), TRUE, (IF(AP5:AP53&lt;&gt;"",_xlfn.ANCHORARRAY( $A$5), ""))))</f>
        <v/>
      </c>
      <c r="AQ4" s="557" t="str" cm="1">
        <f t="array" ref="AQ4">IF(AQ2="", "", _xlfn.TEXTJOIN(", "&amp;CHAR(10), TRUE, (IF(AQ5:AQ53&lt;&gt;"",_xlfn.ANCHORARRAY( $A$5), ""))))</f>
        <v/>
      </c>
      <c r="AR4" s="557" t="str" cm="1">
        <f t="array" ref="AR4">IF(AR2="", "", _xlfn.TEXTJOIN(", "&amp;CHAR(10), TRUE, (IF(AR5:AR53&lt;&gt;"",_xlfn.ANCHORARRAY( $A$5), ""))))</f>
        <v/>
      </c>
      <c r="AS4" s="557" t="str" cm="1">
        <f t="array" ref="AS4">IF(AS2="", "", _xlfn.TEXTJOIN(", "&amp;CHAR(10), TRUE, (IF(AS5:AS53&lt;&gt;"",_xlfn.ANCHORARRAY( $A$5), ""))))</f>
        <v/>
      </c>
      <c r="AT4" s="557" t="str" cm="1">
        <f t="array" ref="AT4">IF(AT2="", "", _xlfn.TEXTJOIN(", "&amp;CHAR(10), TRUE, (IF(AT5:AT53&lt;&gt;"",_xlfn.ANCHORARRAY( $A$5), ""))))</f>
        <v/>
      </c>
      <c r="AU4" s="557" t="str" cm="1">
        <f t="array" ref="AU4">IF(AU2="", "", _xlfn.TEXTJOIN(", "&amp;CHAR(10), TRUE, (IF(AU5:AU53&lt;&gt;"",_xlfn.ANCHORARRAY( $A$5), ""))))</f>
        <v/>
      </c>
      <c r="AV4" s="557" t="str" cm="1">
        <f t="array" ref="AV4">IF(AV2="", "", _xlfn.TEXTJOIN(", "&amp;CHAR(10), TRUE, (IF(AV5:AV53&lt;&gt;"",_xlfn.ANCHORARRAY( $A$5), ""))))</f>
        <v/>
      </c>
      <c r="AW4" s="557" t="str" cm="1">
        <f t="array" ref="AW4">IF(AW2="", "", _xlfn.TEXTJOIN(", "&amp;CHAR(10), TRUE, (IF(AW5:AW53&lt;&gt;"",_xlfn.ANCHORARRAY( $A$5), ""))))</f>
        <v/>
      </c>
      <c r="AX4" s="557" t="str" cm="1">
        <f t="array" ref="AX4">IF(AX2="", "", _xlfn.TEXTJOIN(", "&amp;CHAR(10), TRUE, (IF(AX5:AX53&lt;&gt;"",_xlfn.ANCHORARRAY( $A$5), ""))))</f>
        <v/>
      </c>
      <c r="AY4" s="558" t="str" cm="1">
        <f t="array" ref="AY4">IF(AY2="", "", _xlfn.TEXTJOIN(", "&amp;CHAR(10), TRUE, (IF(AY5:AY53&lt;&gt;"",_xlfn.ANCHORARRAY( $A$5), ""))))</f>
        <v/>
      </c>
    </row>
    <row r="5" spans="1:51" s="266" customFormat="1" x14ac:dyDescent="0.3">
      <c r="A5" s="559" t="str" cm="1">
        <f t="array" ref="A5:A53">IF(Assets[Asset ID
Free text]&lt;&gt;0, Assets[Asset ID
Free text], "")</f>
        <v/>
      </c>
      <c r="B5" s="560" t="str" cm="1">
        <f t="array" ref="B5">IF(A5="", "", _xlfn.TEXTJOIN(", "&amp;CHAR(10), TRUE, (IF(C5:AY5&lt;&gt;"",_xlfn.ANCHORARRAY( $C$2), ""))))</f>
        <v/>
      </c>
      <c r="C5" s="70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2"/>
    </row>
    <row r="6" spans="1:51" s="266" customFormat="1" x14ac:dyDescent="0.3">
      <c r="A6" s="559" t="str">
        <v/>
      </c>
      <c r="B6" s="560" t="str" cm="1">
        <f t="array" ref="B6">IF(A6="", "", _xlfn.TEXTJOIN(", "&amp;CHAR(10), TRUE, (IF(C6:AY6&lt;&gt;"",_xlfn.ANCHORARRAY( $C$2), ""))))</f>
        <v/>
      </c>
      <c r="C6" s="70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2"/>
    </row>
    <row r="7" spans="1:51" s="266" customFormat="1" x14ac:dyDescent="0.3">
      <c r="A7" s="559" t="str">
        <v/>
      </c>
      <c r="B7" s="560" t="str" cm="1">
        <f t="array" ref="B7">IF(A7="", "", _xlfn.TEXTJOIN(", "&amp;CHAR(10), TRUE, (IF(C7:AY7&lt;&gt;"",_xlfn.ANCHORARRAY( $C$2), ""))))</f>
        <v/>
      </c>
      <c r="C7" s="70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2"/>
    </row>
    <row r="8" spans="1:51" s="266" customFormat="1" x14ac:dyDescent="0.3">
      <c r="A8" s="559" t="str">
        <v/>
      </c>
      <c r="B8" s="560" t="str" cm="1">
        <f t="array" ref="B8">IF(A8="", "", _xlfn.TEXTJOIN(", "&amp;CHAR(10), TRUE, (IF(C8:AY8&lt;&gt;"",_xlfn.ANCHORARRAY( $C$2), ""))))</f>
        <v/>
      </c>
      <c r="C8" s="70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2"/>
    </row>
    <row r="9" spans="1:51" s="266" customFormat="1" x14ac:dyDescent="0.3">
      <c r="A9" s="559" t="str">
        <v/>
      </c>
      <c r="B9" s="560" t="str" cm="1">
        <f t="array" ref="B9">IF(A9="", "", _xlfn.TEXTJOIN(", "&amp;CHAR(10), TRUE, (IF(C9:AY9&lt;&gt;"",_xlfn.ANCHORARRAY( $C$2), ""))))</f>
        <v/>
      </c>
      <c r="C9" s="70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2"/>
    </row>
    <row r="10" spans="1:51" s="266" customFormat="1" x14ac:dyDescent="0.3">
      <c r="A10" s="559" t="str">
        <v/>
      </c>
      <c r="B10" s="560" t="str" cm="1">
        <f t="array" ref="B10">IF(A10="", "", _xlfn.TEXTJOIN(", "&amp;CHAR(10), TRUE, (IF(C10:AY10&lt;&gt;"",_xlfn.ANCHORARRAY( $C$2), ""))))</f>
        <v/>
      </c>
      <c r="C10" s="70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2"/>
    </row>
    <row r="11" spans="1:51" s="266" customFormat="1" x14ac:dyDescent="0.3">
      <c r="A11" s="559" t="str">
        <v/>
      </c>
      <c r="B11" s="560" t="str" cm="1">
        <f t="array" ref="B11">IF(A11="", "", _xlfn.TEXTJOIN(", "&amp;CHAR(10), TRUE, (IF(C11:AY11&lt;&gt;"",_xlfn.ANCHORARRAY( $C$2), ""))))</f>
        <v/>
      </c>
      <c r="C11" s="70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2"/>
    </row>
    <row r="12" spans="1:51" s="266" customFormat="1" x14ac:dyDescent="0.3">
      <c r="A12" s="559" t="str">
        <v/>
      </c>
      <c r="B12" s="560" t="str" cm="1">
        <f t="array" ref="B12">IF(A12="", "", _xlfn.TEXTJOIN(", "&amp;CHAR(10), TRUE, (IF(C12:AY12&lt;&gt;"",_xlfn.ANCHORARRAY( $C$2), ""))))</f>
        <v/>
      </c>
      <c r="C12" s="70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2"/>
    </row>
    <row r="13" spans="1:51" s="266" customFormat="1" x14ac:dyDescent="0.3">
      <c r="A13" s="559" t="str">
        <v/>
      </c>
      <c r="B13" s="560" t="str" cm="1">
        <f t="array" ref="B13">IF(A13="", "", _xlfn.TEXTJOIN(", "&amp;CHAR(10), TRUE, (IF(C13:AY13&lt;&gt;"",_xlfn.ANCHORARRAY( $C$2), ""))))</f>
        <v/>
      </c>
      <c r="C13" s="70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2"/>
    </row>
    <row r="14" spans="1:51" s="266" customFormat="1" x14ac:dyDescent="0.3">
      <c r="A14" s="559" t="str">
        <v/>
      </c>
      <c r="B14" s="560" t="str" cm="1">
        <f t="array" ref="B14">IF(A14="", "", _xlfn.TEXTJOIN(", "&amp;CHAR(10), TRUE, (IF(C14:AY14&lt;&gt;"",_xlfn.ANCHORARRAY( $C$2), ""))))</f>
        <v/>
      </c>
      <c r="C14" s="70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2"/>
    </row>
    <row r="15" spans="1:51" s="266" customFormat="1" x14ac:dyDescent="0.3">
      <c r="A15" s="559" t="str">
        <v/>
      </c>
      <c r="B15" s="560" t="str" cm="1">
        <f t="array" ref="B15">IF(A15="", "", _xlfn.TEXTJOIN(", "&amp;CHAR(10), TRUE, (IF(C15:AY15&lt;&gt;"",_xlfn.ANCHORARRAY( $C$2), ""))))</f>
        <v/>
      </c>
      <c r="C15" s="70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2"/>
    </row>
    <row r="16" spans="1:51" s="266" customFormat="1" x14ac:dyDescent="0.3">
      <c r="A16" s="559" t="str">
        <v/>
      </c>
      <c r="B16" s="560" t="str" cm="1">
        <f t="array" ref="B16">IF(A16="", "", _xlfn.TEXTJOIN(", "&amp;CHAR(10), TRUE, (IF(C16:AY16&lt;&gt;"",_xlfn.ANCHORARRAY( $C$2), ""))))</f>
        <v/>
      </c>
      <c r="C16" s="70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2"/>
    </row>
    <row r="17" spans="1:51" s="266" customFormat="1" x14ac:dyDescent="0.3">
      <c r="A17" s="559" t="str">
        <v/>
      </c>
      <c r="B17" s="560" t="str" cm="1">
        <f t="array" ref="B17">IF(A17="", "", _xlfn.TEXTJOIN(", "&amp;CHAR(10), TRUE, (IF(C17:AY17&lt;&gt;"",_xlfn.ANCHORARRAY( $C$2), ""))))</f>
        <v/>
      </c>
      <c r="C17" s="70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2"/>
    </row>
    <row r="18" spans="1:51" s="266" customFormat="1" x14ac:dyDescent="0.3">
      <c r="A18" s="559" t="str">
        <v/>
      </c>
      <c r="B18" s="560" t="str" cm="1">
        <f t="array" ref="B18">IF(A18="", "", _xlfn.TEXTJOIN(", "&amp;CHAR(10), TRUE, (IF(C18:AY18&lt;&gt;"",_xlfn.ANCHORARRAY( $C$2), ""))))</f>
        <v/>
      </c>
      <c r="C18" s="70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2"/>
    </row>
    <row r="19" spans="1:51" s="266" customFormat="1" x14ac:dyDescent="0.3">
      <c r="A19" s="559" t="str">
        <v/>
      </c>
      <c r="B19" s="560" t="str" cm="1">
        <f t="array" ref="B19">IF(A19="", "", _xlfn.TEXTJOIN(", "&amp;CHAR(10), TRUE, (IF(C19:AY19&lt;&gt;"",_xlfn.ANCHORARRAY( $C$2), ""))))</f>
        <v/>
      </c>
      <c r="C19" s="70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2"/>
    </row>
    <row r="20" spans="1:51" s="266" customFormat="1" x14ac:dyDescent="0.3">
      <c r="A20" s="559" t="str">
        <v/>
      </c>
      <c r="B20" s="560" t="str" cm="1">
        <f t="array" ref="B20">IF(A20="", "", _xlfn.TEXTJOIN(", "&amp;CHAR(10), TRUE, (IF(C20:AY20&lt;&gt;"",_xlfn.ANCHORARRAY( $C$2), ""))))</f>
        <v/>
      </c>
      <c r="C20" s="70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2"/>
    </row>
    <row r="21" spans="1:51" s="266" customFormat="1" x14ac:dyDescent="0.3">
      <c r="A21" s="559" t="str">
        <v/>
      </c>
      <c r="B21" s="560" t="str" cm="1">
        <f t="array" ref="B21">IF(A21="", "", _xlfn.TEXTJOIN(", "&amp;CHAR(10), TRUE, (IF(C21:AY21&lt;&gt;"",_xlfn.ANCHORARRAY( $C$2), ""))))</f>
        <v/>
      </c>
      <c r="C21" s="70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2"/>
    </row>
    <row r="22" spans="1:51" s="266" customFormat="1" x14ac:dyDescent="0.3">
      <c r="A22" s="559" t="str">
        <v/>
      </c>
      <c r="B22" s="560" t="str" cm="1">
        <f t="array" ref="B22">IF(A22="", "", _xlfn.TEXTJOIN(", "&amp;CHAR(10), TRUE, (IF(C22:AY22&lt;&gt;"",_xlfn.ANCHORARRAY( $C$2), ""))))</f>
        <v/>
      </c>
      <c r="C22" s="70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2"/>
    </row>
    <row r="23" spans="1:51" s="266" customFormat="1" x14ac:dyDescent="0.3">
      <c r="A23" s="559" t="str">
        <v/>
      </c>
      <c r="B23" s="560" t="str" cm="1">
        <f t="array" ref="B23">IF(A23="", "", _xlfn.TEXTJOIN(", "&amp;CHAR(10), TRUE, (IF(C23:AY23&lt;&gt;"",_xlfn.ANCHORARRAY( $C$2), ""))))</f>
        <v/>
      </c>
      <c r="C23" s="70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2"/>
    </row>
    <row r="24" spans="1:51" s="266" customFormat="1" x14ac:dyDescent="0.3">
      <c r="A24" s="559" t="str">
        <v/>
      </c>
      <c r="B24" s="560" t="str" cm="1">
        <f t="array" ref="B24">IF(A24="", "", _xlfn.TEXTJOIN(", "&amp;CHAR(10), TRUE, (IF(C24:AY24&lt;&gt;"",_xlfn.ANCHORARRAY( $C$2), ""))))</f>
        <v/>
      </c>
      <c r="C24" s="70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2"/>
    </row>
    <row r="25" spans="1:51" s="266" customFormat="1" x14ac:dyDescent="0.3">
      <c r="A25" s="559" t="str">
        <v/>
      </c>
      <c r="B25" s="560" t="str" cm="1">
        <f t="array" ref="B25">IF(A25="", "", _xlfn.TEXTJOIN(", "&amp;CHAR(10), TRUE, (IF(C25:AY25&lt;&gt;"",_xlfn.ANCHORARRAY( $C$2), ""))))</f>
        <v/>
      </c>
      <c r="C25" s="70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1"/>
      <c r="AX25" s="71"/>
      <c r="AY25" s="72"/>
    </row>
    <row r="26" spans="1:51" s="266" customFormat="1" x14ac:dyDescent="0.3">
      <c r="A26" s="559" t="str">
        <v/>
      </c>
      <c r="B26" s="560" t="str" cm="1">
        <f t="array" ref="B26">IF(A26="", "", _xlfn.TEXTJOIN(", "&amp;CHAR(10), TRUE, (IF(C26:AY26&lt;&gt;"",_xlfn.ANCHORARRAY( $C$2), ""))))</f>
        <v/>
      </c>
      <c r="C26" s="70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2"/>
    </row>
    <row r="27" spans="1:51" s="266" customFormat="1" x14ac:dyDescent="0.3">
      <c r="A27" s="559" t="str">
        <v/>
      </c>
      <c r="B27" s="560" t="str" cm="1">
        <f t="array" ref="B27">IF(A27="", "", _xlfn.TEXTJOIN(", "&amp;CHAR(10), TRUE, (IF(C27:AY27&lt;&gt;"",_xlfn.ANCHORARRAY( $C$2), ""))))</f>
        <v/>
      </c>
      <c r="C27" s="70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2"/>
    </row>
    <row r="28" spans="1:51" s="266" customFormat="1" x14ac:dyDescent="0.3">
      <c r="A28" s="559" t="str">
        <v/>
      </c>
      <c r="B28" s="560" t="str" cm="1">
        <f t="array" ref="B28">IF(A28="", "", _xlfn.TEXTJOIN(", "&amp;CHAR(10), TRUE, (IF(C28:AY28&lt;&gt;"",_xlfn.ANCHORARRAY( $C$2), ""))))</f>
        <v/>
      </c>
      <c r="C28" s="70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2"/>
    </row>
    <row r="29" spans="1:51" s="266" customFormat="1" x14ac:dyDescent="0.3">
      <c r="A29" s="559" t="str">
        <v/>
      </c>
      <c r="B29" s="560" t="str" cm="1">
        <f t="array" ref="B29">IF(A29="", "", _xlfn.TEXTJOIN(", "&amp;CHAR(10), TRUE, (IF(C29:AY29&lt;&gt;"",_xlfn.ANCHORARRAY( $C$2), ""))))</f>
        <v/>
      </c>
      <c r="C29" s="70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2"/>
    </row>
    <row r="30" spans="1:51" s="266" customFormat="1" x14ac:dyDescent="0.3">
      <c r="A30" s="559" t="str">
        <v/>
      </c>
      <c r="B30" s="560" t="str" cm="1">
        <f t="array" ref="B30">IF(A30="", "", _xlfn.TEXTJOIN(", "&amp;CHAR(10), TRUE, (IF(C30:AY30&lt;&gt;"",_xlfn.ANCHORARRAY( $C$2), ""))))</f>
        <v/>
      </c>
      <c r="C30" s="70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2"/>
    </row>
    <row r="31" spans="1:51" s="266" customFormat="1" x14ac:dyDescent="0.3">
      <c r="A31" s="559" t="str">
        <v/>
      </c>
      <c r="B31" s="560" t="str" cm="1">
        <f t="array" ref="B31">IF(A31="", "", _xlfn.TEXTJOIN(", "&amp;CHAR(10), TRUE, (IF(C31:AY31&lt;&gt;"",_xlfn.ANCHORARRAY( $C$2), ""))))</f>
        <v/>
      </c>
      <c r="C31" s="70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  <c r="AS31" s="71"/>
      <c r="AT31" s="71"/>
      <c r="AU31" s="71"/>
      <c r="AV31" s="71"/>
      <c r="AW31" s="71"/>
      <c r="AX31" s="71"/>
      <c r="AY31" s="72"/>
    </row>
    <row r="32" spans="1:51" s="266" customFormat="1" x14ac:dyDescent="0.3">
      <c r="A32" s="559" t="str">
        <v/>
      </c>
      <c r="B32" s="560" t="str" cm="1">
        <f t="array" ref="B32">IF(A32="", "", _xlfn.TEXTJOIN(", "&amp;CHAR(10), TRUE, (IF(C32:AY32&lt;&gt;"",_xlfn.ANCHORARRAY( $C$2), ""))))</f>
        <v/>
      </c>
      <c r="C32" s="70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2"/>
    </row>
    <row r="33" spans="1:51" s="266" customFormat="1" x14ac:dyDescent="0.3">
      <c r="A33" s="559" t="str">
        <v/>
      </c>
      <c r="B33" s="560" t="str" cm="1">
        <f t="array" ref="B33">IF(A33="", "", _xlfn.TEXTJOIN(", "&amp;CHAR(10), TRUE, (IF(C33:AY33&lt;&gt;"",_xlfn.ANCHORARRAY( $C$2), ""))))</f>
        <v/>
      </c>
      <c r="C33" s="70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  <c r="AQ33" s="71"/>
      <c r="AR33" s="71"/>
      <c r="AS33" s="71"/>
      <c r="AT33" s="71"/>
      <c r="AU33" s="71"/>
      <c r="AV33" s="71"/>
      <c r="AW33" s="71"/>
      <c r="AX33" s="71"/>
      <c r="AY33" s="72"/>
    </row>
    <row r="34" spans="1:51" s="266" customFormat="1" x14ac:dyDescent="0.3">
      <c r="A34" s="559" t="str">
        <v/>
      </c>
      <c r="B34" s="560" t="str" cm="1">
        <f t="array" ref="B34">IF(A34="", "", _xlfn.TEXTJOIN(", "&amp;CHAR(10), TRUE, (IF(C34:AY34&lt;&gt;"",_xlfn.ANCHORARRAY( $C$2), ""))))</f>
        <v/>
      </c>
      <c r="C34" s="70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1"/>
      <c r="AW34" s="71"/>
      <c r="AX34" s="71"/>
      <c r="AY34" s="72"/>
    </row>
    <row r="35" spans="1:51" s="266" customFormat="1" x14ac:dyDescent="0.3">
      <c r="A35" s="559" t="str">
        <v/>
      </c>
      <c r="B35" s="560" t="str" cm="1">
        <f t="array" ref="B35">IF(A35="", "", _xlfn.TEXTJOIN(", "&amp;CHAR(10), TRUE, (IF(C35:AY35&lt;&gt;"",_xlfn.ANCHORARRAY( $C$2), ""))))</f>
        <v/>
      </c>
      <c r="C35" s="70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2"/>
    </row>
    <row r="36" spans="1:51" s="266" customFormat="1" x14ac:dyDescent="0.3">
      <c r="A36" s="559" t="str">
        <v/>
      </c>
      <c r="B36" s="560" t="str" cm="1">
        <f t="array" ref="B36">IF(A36="", "", _xlfn.TEXTJOIN(", "&amp;CHAR(10), TRUE, (IF(C36:AY36&lt;&gt;"",_xlfn.ANCHORARRAY( $C$2), ""))))</f>
        <v/>
      </c>
      <c r="C36" s="70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2"/>
    </row>
    <row r="37" spans="1:51" s="266" customFormat="1" x14ac:dyDescent="0.3">
      <c r="A37" s="559" t="str">
        <v/>
      </c>
      <c r="B37" s="560" t="str" cm="1">
        <f t="array" ref="B37">IF(A37="", "", _xlfn.TEXTJOIN(", "&amp;CHAR(10), TRUE, (IF(C37:AY37&lt;&gt;"",_xlfn.ANCHORARRAY( $C$2), ""))))</f>
        <v/>
      </c>
      <c r="C37" s="70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2"/>
    </row>
    <row r="38" spans="1:51" s="266" customFormat="1" x14ac:dyDescent="0.3">
      <c r="A38" s="559" t="str">
        <v/>
      </c>
      <c r="B38" s="560" t="str" cm="1">
        <f t="array" ref="B38">IF(A38="", "", _xlfn.TEXTJOIN(", "&amp;CHAR(10), TRUE, (IF(C38:AY38&lt;&gt;"",_xlfn.ANCHORARRAY( $C$2), ""))))</f>
        <v/>
      </c>
      <c r="C38" s="70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2"/>
    </row>
    <row r="39" spans="1:51" s="266" customFormat="1" x14ac:dyDescent="0.3">
      <c r="A39" s="559" t="str">
        <v/>
      </c>
      <c r="B39" s="560" t="str" cm="1">
        <f t="array" ref="B39">IF(A39="", "", _xlfn.TEXTJOIN(", "&amp;CHAR(10), TRUE, (IF(C39:AY39&lt;&gt;"",_xlfn.ANCHORARRAY( $C$2), ""))))</f>
        <v/>
      </c>
      <c r="C39" s="70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2"/>
    </row>
    <row r="40" spans="1:51" s="266" customFormat="1" x14ac:dyDescent="0.3">
      <c r="A40" s="559" t="str">
        <v/>
      </c>
      <c r="B40" s="560" t="str" cm="1">
        <f t="array" ref="B40">IF(A40="", "", _xlfn.TEXTJOIN(", "&amp;CHAR(10), TRUE, (IF(C40:AY40&lt;&gt;"",_xlfn.ANCHORARRAY( $C$2), ""))))</f>
        <v/>
      </c>
      <c r="C40" s="70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2"/>
    </row>
    <row r="41" spans="1:51" s="266" customFormat="1" x14ac:dyDescent="0.3">
      <c r="A41" s="559" t="str">
        <v/>
      </c>
      <c r="B41" s="560" t="str" cm="1">
        <f t="array" ref="B41">IF(A41="", "", _xlfn.TEXTJOIN(", "&amp;CHAR(10), TRUE, (IF(C41:AY41&lt;&gt;"",_xlfn.ANCHORARRAY( $C$2), ""))))</f>
        <v/>
      </c>
      <c r="C41" s="70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2"/>
    </row>
    <row r="42" spans="1:51" s="266" customFormat="1" x14ac:dyDescent="0.3">
      <c r="A42" s="559" t="str">
        <v/>
      </c>
      <c r="B42" s="560" t="str" cm="1">
        <f t="array" ref="B42">IF(A42="", "", _xlfn.TEXTJOIN(", "&amp;CHAR(10), TRUE, (IF(C42:AY42&lt;&gt;"",_xlfn.ANCHORARRAY( $C$2), ""))))</f>
        <v/>
      </c>
      <c r="C42" s="70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2"/>
    </row>
    <row r="43" spans="1:51" s="266" customFormat="1" x14ac:dyDescent="0.3">
      <c r="A43" s="559" t="str">
        <v/>
      </c>
      <c r="B43" s="560" t="str" cm="1">
        <f t="array" ref="B43">IF(A43="", "", _xlfn.TEXTJOIN(", "&amp;CHAR(10), TRUE, (IF(C43:AY43&lt;&gt;"",_xlfn.ANCHORARRAY( $C$2), ""))))</f>
        <v/>
      </c>
      <c r="C43" s="70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2"/>
    </row>
    <row r="44" spans="1:51" s="266" customFormat="1" x14ac:dyDescent="0.3">
      <c r="A44" s="559" t="str">
        <v/>
      </c>
      <c r="B44" s="560" t="str" cm="1">
        <f t="array" ref="B44">IF(A44="", "", _xlfn.TEXTJOIN(", "&amp;CHAR(10), TRUE, (IF(C44:AY44&lt;&gt;"",_xlfn.ANCHORARRAY( $C$2), ""))))</f>
        <v/>
      </c>
      <c r="C44" s="70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2"/>
    </row>
    <row r="45" spans="1:51" s="266" customFormat="1" x14ac:dyDescent="0.3">
      <c r="A45" s="559" t="str">
        <v/>
      </c>
      <c r="B45" s="560" t="str" cm="1">
        <f t="array" ref="B45">IF(A45="", "", _xlfn.TEXTJOIN(", "&amp;CHAR(10), TRUE, (IF(C45:AY45&lt;&gt;"",_xlfn.ANCHORARRAY( $C$2), ""))))</f>
        <v/>
      </c>
      <c r="C45" s="70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2"/>
    </row>
    <row r="46" spans="1:51" s="266" customFormat="1" x14ac:dyDescent="0.3">
      <c r="A46" s="559" t="str">
        <v/>
      </c>
      <c r="B46" s="560" t="str" cm="1">
        <f t="array" ref="B46">IF(A46="", "", _xlfn.TEXTJOIN(", "&amp;CHAR(10), TRUE, (IF(C46:AY46&lt;&gt;"",_xlfn.ANCHORARRAY( $C$2), ""))))</f>
        <v/>
      </c>
      <c r="C46" s="70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2"/>
    </row>
    <row r="47" spans="1:51" s="266" customFormat="1" x14ac:dyDescent="0.3">
      <c r="A47" s="559" t="str">
        <v/>
      </c>
      <c r="B47" s="560" t="str" cm="1">
        <f t="array" ref="B47">IF(A47="", "", _xlfn.TEXTJOIN(", "&amp;CHAR(10), TRUE, (IF(C47:AY47&lt;&gt;"",_xlfn.ANCHORARRAY( $C$2), ""))))</f>
        <v/>
      </c>
      <c r="C47" s="70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2"/>
    </row>
    <row r="48" spans="1:51" s="266" customFormat="1" x14ac:dyDescent="0.3">
      <c r="A48" s="559" t="str">
        <v/>
      </c>
      <c r="B48" s="560" t="str" cm="1">
        <f t="array" ref="B48">IF(A48="", "", _xlfn.TEXTJOIN(", "&amp;CHAR(10), TRUE, (IF(C48:AY48&lt;&gt;"",_xlfn.ANCHORARRAY( $C$2), ""))))</f>
        <v/>
      </c>
      <c r="C48" s="70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2"/>
    </row>
    <row r="49" spans="1:51" s="266" customFormat="1" x14ac:dyDescent="0.3">
      <c r="A49" s="559" t="str">
        <v/>
      </c>
      <c r="B49" s="560" t="str" cm="1">
        <f t="array" ref="B49">IF(A49="", "", _xlfn.TEXTJOIN(", "&amp;CHAR(10), TRUE, (IF(C49:AY49&lt;&gt;"",_xlfn.ANCHORARRAY( $C$2), ""))))</f>
        <v/>
      </c>
      <c r="C49" s="70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2"/>
    </row>
    <row r="50" spans="1:51" s="266" customFormat="1" x14ac:dyDescent="0.3">
      <c r="A50" s="559" t="str">
        <v/>
      </c>
      <c r="B50" s="560" t="str" cm="1">
        <f t="array" ref="B50">IF(A50="", "", _xlfn.TEXTJOIN(", "&amp;CHAR(10), TRUE, (IF(C50:AY50&lt;&gt;"",_xlfn.ANCHORARRAY( $C$2), ""))))</f>
        <v/>
      </c>
      <c r="C50" s="70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2"/>
    </row>
    <row r="51" spans="1:51" s="266" customFormat="1" x14ac:dyDescent="0.3">
      <c r="A51" s="559" t="str">
        <v/>
      </c>
      <c r="B51" s="560" t="str" cm="1">
        <f t="array" ref="B51">IF(A51="", "", _xlfn.TEXTJOIN(", "&amp;CHAR(10), TRUE, (IF(C51:AY51&lt;&gt;"",_xlfn.ANCHORARRAY( $C$2), ""))))</f>
        <v/>
      </c>
      <c r="C51" s="70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2"/>
    </row>
    <row r="52" spans="1:51" s="266" customFormat="1" x14ac:dyDescent="0.3">
      <c r="A52" s="559" t="str">
        <v/>
      </c>
      <c r="B52" s="560" t="str" cm="1">
        <f t="array" ref="B52">IF(A52="", "", _xlfn.TEXTJOIN(", "&amp;CHAR(10), TRUE, (IF(C52:AY52&lt;&gt;"",_xlfn.ANCHORARRAY( $C$2), ""))))</f>
        <v/>
      </c>
      <c r="C52" s="70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2"/>
    </row>
    <row r="53" spans="1:51" s="266" customFormat="1" ht="17.25" thickBot="1" x14ac:dyDescent="0.35">
      <c r="A53" s="561" t="str">
        <v/>
      </c>
      <c r="B53" s="560" t="str" cm="1">
        <f t="array" ref="B53">IF(A53="", "", _xlfn.TEXTJOIN(", "&amp;CHAR(10), TRUE, (IF(C53:AY53&lt;&gt;"",_xlfn.ANCHORARRAY( $C$2), ""))))</f>
        <v/>
      </c>
      <c r="C53" s="73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5"/>
    </row>
  </sheetData>
  <sheetProtection algorithmName="SHA-512" hashValue="37QqQnjK0GEI6OLb0ny5A93VnJe1xcNM3nvctqZGuELdN+7MKgFDNhSnHqLo08k56/bXn02Fmt1i1XlR9EhX3w==" saltValue="w4rrq4U1LjJbnjNsDd9SCw==" spinCount="100000" sheet="1" objects="1" scenarios="1" formatColumns="0" formatRows="0"/>
  <protectedRanges>
    <protectedRange sqref="C5:AY53" name="Mapping_Assets_Entities"/>
  </protectedRanges>
  <conditionalFormatting sqref="C5:AY53">
    <cfRule type="notContainsBlanks" dxfId="20" priority="1">
      <formula>LEN(TRIM(C5))&gt;0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B6122-542B-4AFE-A000-A7E744B09D10}">
  <sheetPr>
    <tabColor theme="8" tint="0.79998168889431442"/>
    <pageSetUpPr autoPageBreaks="0"/>
  </sheetPr>
  <dimension ref="A1:AZ52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defaultColWidth="20.625" defaultRowHeight="16.5" x14ac:dyDescent="0.3"/>
  <cols>
    <col min="1" max="1" width="23.875" customWidth="1"/>
  </cols>
  <sheetData>
    <row r="1" spans="1:52" ht="23.25" customHeight="1" thickBot="1" x14ac:dyDescent="0.35">
      <c r="A1" s="554" t="s">
        <v>436</v>
      </c>
    </row>
    <row r="2" spans="1:52" s="53" customFormat="1" x14ac:dyDescent="0.3">
      <c r="A2" s="61" t="s">
        <v>120</v>
      </c>
      <c r="B2" s="66" t="s">
        <v>119</v>
      </c>
      <c r="C2" s="77" t="str" cm="1">
        <f t="array" ref="C2:AY2">IF(TRANSPOSE(Entities[Entity ID
Free text])&lt;&gt;0, TRANSPOSE(Entities[Entity ID
Free text]), "")</f>
        <v/>
      </c>
      <c r="D2" s="78" t="str">
        <v/>
      </c>
      <c r="E2" s="78" t="str">
        <v/>
      </c>
      <c r="F2" s="78" t="str">
        <v/>
      </c>
      <c r="G2" s="78" t="str">
        <v/>
      </c>
      <c r="H2" s="78" t="str">
        <v/>
      </c>
      <c r="I2" s="78" t="str">
        <v/>
      </c>
      <c r="J2" s="78" t="str">
        <v/>
      </c>
      <c r="K2" s="78" t="str">
        <v/>
      </c>
      <c r="L2" s="78" t="str">
        <v/>
      </c>
      <c r="M2" s="78" t="str">
        <v/>
      </c>
      <c r="N2" s="78" t="str">
        <v/>
      </c>
      <c r="O2" s="78" t="str">
        <v/>
      </c>
      <c r="P2" s="78" t="str">
        <v/>
      </c>
      <c r="Q2" s="78" t="str">
        <v/>
      </c>
      <c r="R2" s="78" t="str">
        <v/>
      </c>
      <c r="S2" s="78" t="str">
        <v/>
      </c>
      <c r="T2" s="78" t="str">
        <v/>
      </c>
      <c r="U2" s="78" t="str">
        <v/>
      </c>
      <c r="V2" s="78" t="str">
        <v/>
      </c>
      <c r="W2" s="78" t="str">
        <v/>
      </c>
      <c r="X2" s="78" t="str">
        <v/>
      </c>
      <c r="Y2" s="78" t="str">
        <v/>
      </c>
      <c r="Z2" s="78" t="str">
        <v/>
      </c>
      <c r="AA2" s="78" t="str">
        <v/>
      </c>
      <c r="AB2" s="78" t="str">
        <v/>
      </c>
      <c r="AC2" s="78" t="str">
        <v/>
      </c>
      <c r="AD2" s="78" t="str">
        <v/>
      </c>
      <c r="AE2" s="78" t="str">
        <v/>
      </c>
      <c r="AF2" s="78" t="str">
        <v/>
      </c>
      <c r="AG2" s="78" t="str">
        <v/>
      </c>
      <c r="AH2" s="78" t="str">
        <v/>
      </c>
      <c r="AI2" s="78" t="str">
        <v/>
      </c>
      <c r="AJ2" s="78" t="str">
        <v/>
      </c>
      <c r="AK2" s="78" t="str">
        <v/>
      </c>
      <c r="AL2" s="78" t="str">
        <v/>
      </c>
      <c r="AM2" s="78" t="str">
        <v/>
      </c>
      <c r="AN2" s="78" t="str">
        <v/>
      </c>
      <c r="AO2" s="78" t="str">
        <v/>
      </c>
      <c r="AP2" s="78" t="str">
        <v/>
      </c>
      <c r="AQ2" s="78" t="str">
        <v/>
      </c>
      <c r="AR2" s="78" t="str">
        <v/>
      </c>
      <c r="AS2" s="78" t="str">
        <v/>
      </c>
      <c r="AT2" s="78" t="str">
        <v/>
      </c>
      <c r="AU2" s="78" t="str">
        <v/>
      </c>
      <c r="AV2" s="78" t="str">
        <v/>
      </c>
      <c r="AW2" s="78" t="str">
        <v/>
      </c>
      <c r="AX2" s="78" t="str">
        <v/>
      </c>
      <c r="AY2" s="79" t="str">
        <v/>
      </c>
    </row>
    <row r="3" spans="1:52" s="577" customFormat="1" ht="33.75" thickBot="1" x14ac:dyDescent="0.35">
      <c r="A3" s="566" t="s">
        <v>116</v>
      </c>
      <c r="B3" s="567" t="s">
        <v>115</v>
      </c>
      <c r="C3" s="563" t="str" cm="1">
        <f t="array" ref="C3">IF(C2="", "", _xlfn.TEXTJOIN(", "&amp;CHAR(10), TRUE, (IF(C4:C52&lt;&gt;"",_xlfn.ANCHORARRAY( $A$4), ""))))</f>
        <v/>
      </c>
      <c r="D3" s="564" t="str" cm="1">
        <f t="array" ref="D3">IF(D2="", "", _xlfn.TEXTJOIN(", "&amp;CHAR(10), TRUE, (IF(D4:D52&lt;&gt;"",_xlfn.ANCHORARRAY( $A$4), ""))))</f>
        <v/>
      </c>
      <c r="E3" s="564" t="str" cm="1">
        <f t="array" ref="E3">IF(E2="", "", _xlfn.TEXTJOIN(", "&amp;CHAR(10), TRUE, (IF(E4:E52&lt;&gt;"",_xlfn.ANCHORARRAY( $A$4), ""))))</f>
        <v/>
      </c>
      <c r="F3" s="564" t="str" cm="1">
        <f t="array" ref="F3">IF(F2="", "", _xlfn.TEXTJOIN(", "&amp;CHAR(10), TRUE, (IF(F4:F52&lt;&gt;"",_xlfn.ANCHORARRAY( $A$4), ""))))</f>
        <v/>
      </c>
      <c r="G3" s="564" t="str" cm="1">
        <f t="array" ref="G3">IF(G2="", "", _xlfn.TEXTJOIN(", "&amp;CHAR(10), TRUE, (IF(G4:G52&lt;&gt;"",_xlfn.ANCHORARRAY( $A$4), ""))))</f>
        <v/>
      </c>
      <c r="H3" s="564" t="str" cm="1">
        <f t="array" ref="H3">IF(H2="", "", _xlfn.TEXTJOIN(", "&amp;CHAR(10), TRUE, (IF(H4:H52&lt;&gt;"",_xlfn.ANCHORARRAY( $A$4), ""))))</f>
        <v/>
      </c>
      <c r="I3" s="564" t="str" cm="1">
        <f t="array" ref="I3">IF(I2="", "", _xlfn.TEXTJOIN(", "&amp;CHAR(10), TRUE, (IF(I4:I52&lt;&gt;"",_xlfn.ANCHORARRAY( $A$4), ""))))</f>
        <v/>
      </c>
      <c r="J3" s="564" t="str" cm="1">
        <f t="array" ref="J3">IF(J2="", "", _xlfn.TEXTJOIN(", "&amp;CHAR(10), TRUE, (IF(J4:J52&lt;&gt;"",_xlfn.ANCHORARRAY( $A$4), ""))))</f>
        <v/>
      </c>
      <c r="K3" s="564" t="str" cm="1">
        <f t="array" ref="K3">IF(K2="", "", _xlfn.TEXTJOIN(", "&amp;CHAR(10), TRUE, (IF(K4:K52&lt;&gt;"",_xlfn.ANCHORARRAY( $A$4), ""))))</f>
        <v/>
      </c>
      <c r="L3" s="564" t="str" cm="1">
        <f t="array" ref="L3">IF(L2="", "", _xlfn.TEXTJOIN(", "&amp;CHAR(10), TRUE, (IF(L4:L52&lt;&gt;"",_xlfn.ANCHORARRAY( $A$4), ""))))</f>
        <v/>
      </c>
      <c r="M3" s="564" t="str" cm="1">
        <f t="array" ref="M3">IF(M2="", "", _xlfn.TEXTJOIN(", "&amp;CHAR(10), TRUE, (IF(M4:M52&lt;&gt;"",_xlfn.ANCHORARRAY( $A$4), ""))))</f>
        <v/>
      </c>
      <c r="N3" s="564" t="str" cm="1">
        <f t="array" ref="N3">IF(N2="", "", _xlfn.TEXTJOIN(", "&amp;CHAR(10), TRUE, (IF(N4:N52&lt;&gt;"",_xlfn.ANCHORARRAY( $A$4), ""))))</f>
        <v/>
      </c>
      <c r="O3" s="564" t="str" cm="1">
        <f t="array" ref="O3">IF(O2="", "", _xlfn.TEXTJOIN(", "&amp;CHAR(10), TRUE, (IF(O4:O52&lt;&gt;"",_xlfn.ANCHORARRAY( $A$4), ""))))</f>
        <v/>
      </c>
      <c r="P3" s="564" t="str" cm="1">
        <f t="array" ref="P3">IF(P2="", "", _xlfn.TEXTJOIN(", "&amp;CHAR(10), TRUE, (IF(P4:P52&lt;&gt;"",_xlfn.ANCHORARRAY( $A$4), ""))))</f>
        <v/>
      </c>
      <c r="Q3" s="564" t="str" cm="1">
        <f t="array" ref="Q3">IF(Q2="", "", _xlfn.TEXTJOIN(", "&amp;CHAR(10), TRUE, (IF(Q4:Q52&lt;&gt;"",_xlfn.ANCHORARRAY( $A$4), ""))))</f>
        <v/>
      </c>
      <c r="R3" s="564" t="str" cm="1">
        <f t="array" ref="R3">IF(R2="", "", _xlfn.TEXTJOIN(", "&amp;CHAR(10), TRUE, (IF(R4:R52&lt;&gt;"",_xlfn.ANCHORARRAY( $A$4), ""))))</f>
        <v/>
      </c>
      <c r="S3" s="564" t="str" cm="1">
        <f t="array" ref="S3">IF(S2="", "", _xlfn.TEXTJOIN(", "&amp;CHAR(10), TRUE, (IF(S4:S52&lt;&gt;"",_xlfn.ANCHORARRAY( $A$4), ""))))</f>
        <v/>
      </c>
      <c r="T3" s="564" t="str" cm="1">
        <f t="array" ref="T3">IF(T2="", "", _xlfn.TEXTJOIN(", "&amp;CHAR(10), TRUE, (IF(T4:T52&lt;&gt;"",_xlfn.ANCHORARRAY( $A$4), ""))))</f>
        <v/>
      </c>
      <c r="U3" s="564" t="str" cm="1">
        <f t="array" ref="U3">IF(U2="", "", _xlfn.TEXTJOIN(", "&amp;CHAR(10), TRUE, (IF(U4:U52&lt;&gt;"",_xlfn.ANCHORARRAY( $A$4), ""))))</f>
        <v/>
      </c>
      <c r="V3" s="564" t="str" cm="1">
        <f t="array" ref="V3">IF(V2="", "", _xlfn.TEXTJOIN(", "&amp;CHAR(10), TRUE, (IF(V4:V52&lt;&gt;"",_xlfn.ANCHORARRAY( $A$4), ""))))</f>
        <v/>
      </c>
      <c r="W3" s="564" t="str" cm="1">
        <f t="array" ref="W3">IF(W2="", "", _xlfn.TEXTJOIN(", "&amp;CHAR(10), TRUE, (IF(W4:W52&lt;&gt;"",_xlfn.ANCHORARRAY( $A$4), ""))))</f>
        <v/>
      </c>
      <c r="X3" s="564" t="str" cm="1">
        <f t="array" ref="X3">IF(X2="", "", _xlfn.TEXTJOIN(", "&amp;CHAR(10), TRUE, (IF(X4:X52&lt;&gt;"",_xlfn.ANCHORARRAY( $A$4), ""))))</f>
        <v/>
      </c>
      <c r="Y3" s="564" t="str" cm="1">
        <f t="array" ref="Y3">IF(Y2="", "", _xlfn.TEXTJOIN(", "&amp;CHAR(10), TRUE, (IF(Y4:Y52&lt;&gt;"",_xlfn.ANCHORARRAY( $A$4), ""))))</f>
        <v/>
      </c>
      <c r="Z3" s="564" t="str" cm="1">
        <f t="array" ref="Z3">IF(Z2="", "", _xlfn.TEXTJOIN(", "&amp;CHAR(10), TRUE, (IF(Z4:Z52&lt;&gt;"",_xlfn.ANCHORARRAY( $A$4), ""))))</f>
        <v/>
      </c>
      <c r="AA3" s="564" t="str" cm="1">
        <f t="array" ref="AA3">IF(AA2="", "", _xlfn.TEXTJOIN(", "&amp;CHAR(10), TRUE, (IF(AA4:AA52&lt;&gt;"",_xlfn.ANCHORARRAY( $A$4), ""))))</f>
        <v/>
      </c>
      <c r="AB3" s="564" t="str" cm="1">
        <f t="array" ref="AB3">IF(AB2="", "", _xlfn.TEXTJOIN(", "&amp;CHAR(10), TRUE, (IF(AB4:AB52&lt;&gt;"",_xlfn.ANCHORARRAY( $A$4), ""))))</f>
        <v/>
      </c>
      <c r="AC3" s="564" t="str" cm="1">
        <f t="array" ref="AC3">IF(AC2="", "", _xlfn.TEXTJOIN(", "&amp;CHAR(10), TRUE, (IF(AC4:AC52&lt;&gt;"",_xlfn.ANCHORARRAY( $A$4), ""))))</f>
        <v/>
      </c>
      <c r="AD3" s="564" t="str" cm="1">
        <f t="array" ref="AD3">IF(AD2="", "", _xlfn.TEXTJOIN(", "&amp;CHAR(10), TRUE, (IF(AD4:AD52&lt;&gt;"",_xlfn.ANCHORARRAY( $A$4), ""))))</f>
        <v/>
      </c>
      <c r="AE3" s="564" t="str" cm="1">
        <f t="array" ref="AE3">IF(AE2="", "", _xlfn.TEXTJOIN(", "&amp;CHAR(10), TRUE, (IF(AE4:AE52&lt;&gt;"",_xlfn.ANCHORARRAY( $A$4), ""))))</f>
        <v/>
      </c>
      <c r="AF3" s="564" t="str" cm="1">
        <f t="array" ref="AF3">IF(AF2="", "", _xlfn.TEXTJOIN(", "&amp;CHAR(10), TRUE, (IF(AF4:AF52&lt;&gt;"",_xlfn.ANCHORARRAY( $A$4), ""))))</f>
        <v/>
      </c>
      <c r="AG3" s="564" t="str" cm="1">
        <f t="array" ref="AG3">IF(AG2="", "", _xlfn.TEXTJOIN(", "&amp;CHAR(10), TRUE, (IF(AG4:AG52&lt;&gt;"",_xlfn.ANCHORARRAY( $A$4), ""))))</f>
        <v/>
      </c>
      <c r="AH3" s="564" t="str" cm="1">
        <f t="array" ref="AH3">IF(AH2="", "", _xlfn.TEXTJOIN(", "&amp;CHAR(10), TRUE, (IF(AH4:AH52&lt;&gt;"",_xlfn.ANCHORARRAY( $A$4), ""))))</f>
        <v/>
      </c>
      <c r="AI3" s="564" t="str" cm="1">
        <f t="array" ref="AI3">IF(AI2="", "", _xlfn.TEXTJOIN(", "&amp;CHAR(10), TRUE, (IF(AI4:AI52&lt;&gt;"",_xlfn.ANCHORARRAY( $A$4), ""))))</f>
        <v/>
      </c>
      <c r="AJ3" s="564" t="str" cm="1">
        <f t="array" ref="AJ3">IF(AJ2="", "", _xlfn.TEXTJOIN(", "&amp;CHAR(10), TRUE, (IF(AJ4:AJ52&lt;&gt;"",_xlfn.ANCHORARRAY( $A$4), ""))))</f>
        <v/>
      </c>
      <c r="AK3" s="564" t="str" cm="1">
        <f t="array" ref="AK3">IF(AK2="", "", _xlfn.TEXTJOIN(", "&amp;CHAR(10), TRUE, (IF(AK4:AK52&lt;&gt;"",_xlfn.ANCHORARRAY( $A$4), ""))))</f>
        <v/>
      </c>
      <c r="AL3" s="564" t="str" cm="1">
        <f t="array" ref="AL3">IF(AL2="", "", _xlfn.TEXTJOIN(", "&amp;CHAR(10), TRUE, (IF(AL4:AL52&lt;&gt;"",_xlfn.ANCHORARRAY( $A$4), ""))))</f>
        <v/>
      </c>
      <c r="AM3" s="564" t="str" cm="1">
        <f t="array" ref="AM3">IF(AM2="", "", _xlfn.TEXTJOIN(", "&amp;CHAR(10), TRUE, (IF(AM4:AM52&lt;&gt;"",_xlfn.ANCHORARRAY( $A$4), ""))))</f>
        <v/>
      </c>
      <c r="AN3" s="564" t="str" cm="1">
        <f t="array" ref="AN3">IF(AN2="", "", _xlfn.TEXTJOIN(", "&amp;CHAR(10), TRUE, (IF(AN4:AN52&lt;&gt;"",_xlfn.ANCHORARRAY( $A$4), ""))))</f>
        <v/>
      </c>
      <c r="AO3" s="564" t="str" cm="1">
        <f t="array" ref="AO3">IF(AO2="", "", _xlfn.TEXTJOIN(", "&amp;CHAR(10), TRUE, (IF(AO4:AO52&lt;&gt;"",_xlfn.ANCHORARRAY( $A$4), ""))))</f>
        <v/>
      </c>
      <c r="AP3" s="564" t="str" cm="1">
        <f t="array" ref="AP3">IF(AP2="", "", _xlfn.TEXTJOIN(", "&amp;CHAR(10), TRUE, (IF(AP4:AP52&lt;&gt;"",_xlfn.ANCHORARRAY( $A$4), ""))))</f>
        <v/>
      </c>
      <c r="AQ3" s="564" t="str" cm="1">
        <f t="array" ref="AQ3">IF(AQ2="", "", _xlfn.TEXTJOIN(", "&amp;CHAR(10), TRUE, (IF(AQ4:AQ52&lt;&gt;"",_xlfn.ANCHORARRAY( $A$4), ""))))</f>
        <v/>
      </c>
      <c r="AR3" s="564" t="str" cm="1">
        <f t="array" ref="AR3">IF(AR2="", "", _xlfn.TEXTJOIN(", "&amp;CHAR(10), TRUE, (IF(AR4:AR52&lt;&gt;"",_xlfn.ANCHORARRAY( $A$4), ""))))</f>
        <v/>
      </c>
      <c r="AS3" s="564" t="str" cm="1">
        <f t="array" ref="AS3">IF(AS2="", "", _xlfn.TEXTJOIN(", "&amp;CHAR(10), TRUE, (IF(AS4:AS52&lt;&gt;"",_xlfn.ANCHORARRAY( $A$4), ""))))</f>
        <v/>
      </c>
      <c r="AT3" s="564" t="str" cm="1">
        <f t="array" ref="AT3">IF(AT2="", "", _xlfn.TEXTJOIN(", "&amp;CHAR(10), TRUE, (IF(AT4:AT52&lt;&gt;"",_xlfn.ANCHORARRAY( $A$4), ""))))</f>
        <v/>
      </c>
      <c r="AU3" s="564" t="str" cm="1">
        <f t="array" ref="AU3">IF(AU2="", "", _xlfn.TEXTJOIN(", "&amp;CHAR(10), TRUE, (IF(AU4:AU52&lt;&gt;"",_xlfn.ANCHORARRAY( $A$4), ""))))</f>
        <v/>
      </c>
      <c r="AV3" s="564" t="str" cm="1">
        <f t="array" ref="AV3">IF(AV2="", "", _xlfn.TEXTJOIN(", "&amp;CHAR(10), TRUE, (IF(AV4:AV52&lt;&gt;"",_xlfn.ANCHORARRAY( $A$4), ""))))</f>
        <v/>
      </c>
      <c r="AW3" s="564" t="str" cm="1">
        <f t="array" ref="AW3">IF(AW2="", "", _xlfn.TEXTJOIN(", "&amp;CHAR(10), TRUE, (IF(AW4:AW52&lt;&gt;"",_xlfn.ANCHORARRAY( $A$4), ""))))</f>
        <v/>
      </c>
      <c r="AX3" s="564" t="str" cm="1">
        <f t="array" ref="AX3">IF(AX2="", "", _xlfn.TEXTJOIN(", "&amp;CHAR(10), TRUE, (IF(AX4:AX52&lt;&gt;"",_xlfn.ANCHORARRAY( $A$4), ""))))</f>
        <v/>
      </c>
      <c r="AY3" s="565" t="str" cm="1">
        <f t="array" ref="AY3">IF(AY2="", "", _xlfn.TEXTJOIN(", "&amp;CHAR(10), TRUE, (IF(AY4:AY52&lt;&gt;"",_xlfn.ANCHORARRAY( $A$4), ""))))</f>
        <v/>
      </c>
      <c r="AZ3" s="576"/>
    </row>
    <row r="4" spans="1:52" s="571" customFormat="1" x14ac:dyDescent="0.3">
      <c r="A4" s="572" t="str" cm="1">
        <f t="array" ref="A4:A52">IF(Interfaces[Interface ID
Free text]=0, "", Interfaces[Interface ID
Free text])</f>
        <v/>
      </c>
      <c r="B4" s="573" t="str" cm="1">
        <f t="array" ref="B4">IF(A4="", "", _xlfn.TEXTJOIN(", "&amp;CHAR(10), TRUE, (IF(C4:AY4&lt;&gt;"",_xlfn.ANCHORARRAY( $C$2), ""))))</f>
        <v/>
      </c>
      <c r="C4" s="568"/>
      <c r="D4" s="569"/>
      <c r="E4" s="569"/>
      <c r="F4" s="569"/>
      <c r="G4" s="569"/>
      <c r="H4" s="569"/>
      <c r="I4" s="569"/>
      <c r="J4" s="569"/>
      <c r="K4" s="569"/>
      <c r="L4" s="569"/>
      <c r="M4" s="569"/>
      <c r="N4" s="569"/>
      <c r="O4" s="569"/>
      <c r="P4" s="569"/>
      <c r="Q4" s="569"/>
      <c r="R4" s="569"/>
      <c r="S4" s="569"/>
      <c r="T4" s="569"/>
      <c r="U4" s="569"/>
      <c r="V4" s="569"/>
      <c r="W4" s="569"/>
      <c r="X4" s="569"/>
      <c r="Y4" s="569"/>
      <c r="Z4" s="569"/>
      <c r="AA4" s="569"/>
      <c r="AB4" s="569"/>
      <c r="AC4" s="569"/>
      <c r="AD4" s="569"/>
      <c r="AE4" s="569"/>
      <c r="AF4" s="569"/>
      <c r="AG4" s="569"/>
      <c r="AH4" s="569"/>
      <c r="AI4" s="569"/>
      <c r="AJ4" s="569"/>
      <c r="AK4" s="569"/>
      <c r="AL4" s="569"/>
      <c r="AM4" s="569"/>
      <c r="AN4" s="569"/>
      <c r="AO4" s="569"/>
      <c r="AP4" s="569"/>
      <c r="AQ4" s="569"/>
      <c r="AR4" s="569"/>
      <c r="AS4" s="569"/>
      <c r="AT4" s="569"/>
      <c r="AU4" s="569"/>
      <c r="AV4" s="569"/>
      <c r="AW4" s="569"/>
      <c r="AX4" s="569"/>
      <c r="AY4" s="570"/>
    </row>
    <row r="5" spans="1:52" s="571" customFormat="1" x14ac:dyDescent="0.3">
      <c r="A5" s="574" t="str">
        <v/>
      </c>
      <c r="B5" s="560" t="str" cm="1">
        <f t="array" ref="B5">IF(A5="", "", _xlfn.TEXTJOIN(", "&amp;CHAR(10), TRUE, (IF(C5:AY5&lt;&gt;"",_xlfn.ANCHORARRAY( $C$2), ""))))</f>
        <v/>
      </c>
      <c r="C5" s="70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2"/>
    </row>
    <row r="6" spans="1:52" s="571" customFormat="1" x14ac:dyDescent="0.3">
      <c r="A6" s="574" t="str">
        <v/>
      </c>
      <c r="B6" s="560" t="str" cm="1">
        <f t="array" ref="B6">IF(A6="", "", _xlfn.TEXTJOIN(", "&amp;CHAR(10), TRUE, (IF(C6:AY6&lt;&gt;"",_xlfn.ANCHORARRAY( $C$2), ""))))</f>
        <v/>
      </c>
      <c r="C6" s="70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2"/>
    </row>
    <row r="7" spans="1:52" s="571" customFormat="1" x14ac:dyDescent="0.3">
      <c r="A7" s="574" t="str">
        <v/>
      </c>
      <c r="B7" s="560" t="str" cm="1">
        <f t="array" ref="B7">IF(A7="", "", _xlfn.TEXTJOIN(", "&amp;CHAR(10), TRUE, (IF(C7:AY7&lt;&gt;"",_xlfn.ANCHORARRAY( $C$2), ""))))</f>
        <v/>
      </c>
      <c r="C7" s="70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2"/>
    </row>
    <row r="8" spans="1:52" s="571" customFormat="1" x14ac:dyDescent="0.3">
      <c r="A8" s="574" t="str">
        <v/>
      </c>
      <c r="B8" s="560" t="str" cm="1">
        <f t="array" ref="B8">IF(A8="", "", _xlfn.TEXTJOIN(", "&amp;CHAR(10), TRUE, (IF(C8:AY8&lt;&gt;"",_xlfn.ANCHORARRAY( $C$2), ""))))</f>
        <v/>
      </c>
      <c r="C8" s="70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2"/>
    </row>
    <row r="9" spans="1:52" s="571" customFormat="1" x14ac:dyDescent="0.3">
      <c r="A9" s="574" t="str">
        <v/>
      </c>
      <c r="B9" s="560" t="str" cm="1">
        <f t="array" ref="B9">IF(A9="", "", _xlfn.TEXTJOIN(", "&amp;CHAR(10), TRUE, (IF(C9:AY9&lt;&gt;"",_xlfn.ANCHORARRAY( $C$2), ""))))</f>
        <v/>
      </c>
      <c r="C9" s="70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2"/>
    </row>
    <row r="10" spans="1:52" s="571" customFormat="1" x14ac:dyDescent="0.3">
      <c r="A10" s="574" t="str">
        <v/>
      </c>
      <c r="B10" s="560" t="str" cm="1">
        <f t="array" ref="B10">IF(A10="", "", _xlfn.TEXTJOIN(", "&amp;CHAR(10), TRUE, (IF(C10:AY10&lt;&gt;"",_xlfn.ANCHORARRAY( $C$2), ""))))</f>
        <v/>
      </c>
      <c r="C10" s="70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2"/>
    </row>
    <row r="11" spans="1:52" s="571" customFormat="1" x14ac:dyDescent="0.3">
      <c r="A11" s="574" t="str">
        <v/>
      </c>
      <c r="B11" s="560" t="str" cm="1">
        <f t="array" ref="B11">IF(A11="", "", _xlfn.TEXTJOIN(", "&amp;CHAR(10), TRUE, (IF(C11:AY11&lt;&gt;"",_xlfn.ANCHORARRAY( $C$2), ""))))</f>
        <v/>
      </c>
      <c r="C11" s="70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2"/>
    </row>
    <row r="12" spans="1:52" s="571" customFormat="1" x14ac:dyDescent="0.3">
      <c r="A12" s="574" t="str">
        <v/>
      </c>
      <c r="B12" s="560" t="str" cm="1">
        <f t="array" ref="B12">IF(A12="", "", _xlfn.TEXTJOIN(", "&amp;CHAR(10), TRUE, (IF(C12:AY12&lt;&gt;"",_xlfn.ANCHORARRAY( $C$2), ""))))</f>
        <v/>
      </c>
      <c r="C12" s="70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2"/>
    </row>
    <row r="13" spans="1:52" s="571" customFormat="1" x14ac:dyDescent="0.3">
      <c r="A13" s="574" t="str">
        <v/>
      </c>
      <c r="B13" s="560" t="str" cm="1">
        <f t="array" ref="B13">IF(A13="", "", _xlfn.TEXTJOIN(", "&amp;CHAR(10), TRUE, (IF(C13:AY13&lt;&gt;"",_xlfn.ANCHORARRAY( $C$2), ""))))</f>
        <v/>
      </c>
      <c r="C13" s="70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2"/>
    </row>
    <row r="14" spans="1:52" s="571" customFormat="1" x14ac:dyDescent="0.3">
      <c r="A14" s="574" t="str">
        <v/>
      </c>
      <c r="B14" s="560" t="str" cm="1">
        <f t="array" ref="B14">IF(A14="", "", _xlfn.TEXTJOIN(", "&amp;CHAR(10), TRUE, (IF(C14:AY14&lt;&gt;"",_xlfn.ANCHORARRAY( $C$2), ""))))</f>
        <v/>
      </c>
      <c r="C14" s="70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2"/>
    </row>
    <row r="15" spans="1:52" s="571" customFormat="1" x14ac:dyDescent="0.3">
      <c r="A15" s="574" t="str">
        <v/>
      </c>
      <c r="B15" s="560" t="str" cm="1">
        <f t="array" ref="B15">IF(A15="", "", _xlfn.TEXTJOIN(", "&amp;CHAR(10), TRUE, (IF(C15:AY15&lt;&gt;"",_xlfn.ANCHORARRAY( $C$2), ""))))</f>
        <v/>
      </c>
      <c r="C15" s="70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2"/>
    </row>
    <row r="16" spans="1:52" s="571" customFormat="1" x14ac:dyDescent="0.3">
      <c r="A16" s="574" t="str">
        <v/>
      </c>
      <c r="B16" s="560" t="str" cm="1">
        <f t="array" ref="B16">IF(A16="", "", _xlfn.TEXTJOIN(", "&amp;CHAR(10), TRUE, (IF(C16:AY16&lt;&gt;"",_xlfn.ANCHORARRAY( $C$2), ""))))</f>
        <v/>
      </c>
      <c r="C16" s="70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2"/>
    </row>
    <row r="17" spans="1:51" s="571" customFormat="1" x14ac:dyDescent="0.3">
      <c r="A17" s="574" t="str">
        <v/>
      </c>
      <c r="B17" s="560" t="str" cm="1">
        <f t="array" ref="B17">IF(A17="", "", _xlfn.TEXTJOIN(", "&amp;CHAR(10), TRUE, (IF(C17:AY17&lt;&gt;"",_xlfn.ANCHORARRAY( $C$2), ""))))</f>
        <v/>
      </c>
      <c r="C17" s="70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2"/>
    </row>
    <row r="18" spans="1:51" s="571" customFormat="1" x14ac:dyDescent="0.3">
      <c r="A18" s="574" t="str">
        <v/>
      </c>
      <c r="B18" s="560" t="str" cm="1">
        <f t="array" ref="B18">IF(A18="", "", _xlfn.TEXTJOIN(", "&amp;CHAR(10), TRUE, (IF(C18:AY18&lt;&gt;"",_xlfn.ANCHORARRAY( $C$2), ""))))</f>
        <v/>
      </c>
      <c r="C18" s="70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2"/>
    </row>
    <row r="19" spans="1:51" s="571" customFormat="1" x14ac:dyDescent="0.3">
      <c r="A19" s="574" t="str">
        <v/>
      </c>
      <c r="B19" s="560" t="str" cm="1">
        <f t="array" ref="B19">IF(A19="", "", _xlfn.TEXTJOIN(", "&amp;CHAR(10), TRUE, (IF(C19:AY19&lt;&gt;"",_xlfn.ANCHORARRAY( $C$2), ""))))</f>
        <v/>
      </c>
      <c r="C19" s="70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2"/>
    </row>
    <row r="20" spans="1:51" s="571" customFormat="1" x14ac:dyDescent="0.3">
      <c r="A20" s="574" t="str">
        <v/>
      </c>
      <c r="B20" s="560" t="str" cm="1">
        <f t="array" ref="B20">IF(A20="", "", _xlfn.TEXTJOIN(", "&amp;CHAR(10), TRUE, (IF(C20:AY20&lt;&gt;"",_xlfn.ANCHORARRAY( $C$2), ""))))</f>
        <v/>
      </c>
      <c r="C20" s="70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2"/>
    </row>
    <row r="21" spans="1:51" s="571" customFormat="1" x14ac:dyDescent="0.3">
      <c r="A21" s="574" t="str">
        <v/>
      </c>
      <c r="B21" s="560" t="str" cm="1">
        <f t="array" ref="B21">IF(A21="", "", _xlfn.TEXTJOIN(", "&amp;CHAR(10), TRUE, (IF(C21:AY21&lt;&gt;"",_xlfn.ANCHORARRAY( $C$2), ""))))</f>
        <v/>
      </c>
      <c r="C21" s="70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2"/>
    </row>
    <row r="22" spans="1:51" s="571" customFormat="1" x14ac:dyDescent="0.3">
      <c r="A22" s="574" t="str">
        <v/>
      </c>
      <c r="B22" s="560" t="str" cm="1">
        <f t="array" ref="B22">IF(A22="", "", _xlfn.TEXTJOIN(", "&amp;CHAR(10), TRUE, (IF(C22:AY22&lt;&gt;"",_xlfn.ANCHORARRAY( $C$2), ""))))</f>
        <v/>
      </c>
      <c r="C22" s="70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2"/>
    </row>
    <row r="23" spans="1:51" s="571" customFormat="1" x14ac:dyDescent="0.3">
      <c r="A23" s="574" t="str">
        <v/>
      </c>
      <c r="B23" s="560" t="str" cm="1">
        <f t="array" ref="B23">IF(A23="", "", _xlfn.TEXTJOIN(", "&amp;CHAR(10), TRUE, (IF(C23:AY23&lt;&gt;"",_xlfn.ANCHORARRAY( $C$2), ""))))</f>
        <v/>
      </c>
      <c r="C23" s="70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2"/>
    </row>
    <row r="24" spans="1:51" s="571" customFormat="1" x14ac:dyDescent="0.3">
      <c r="A24" s="574" t="str">
        <v/>
      </c>
      <c r="B24" s="560" t="str" cm="1">
        <f t="array" ref="B24">IF(A24="", "", _xlfn.TEXTJOIN(", "&amp;CHAR(10), TRUE, (IF(C24:AY24&lt;&gt;"",_xlfn.ANCHORARRAY( $C$2), ""))))</f>
        <v/>
      </c>
      <c r="C24" s="70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2"/>
    </row>
    <row r="25" spans="1:51" s="571" customFormat="1" x14ac:dyDescent="0.3">
      <c r="A25" s="574" t="str">
        <v/>
      </c>
      <c r="B25" s="560" t="str" cm="1">
        <f t="array" ref="B25">IF(A25="", "", _xlfn.TEXTJOIN(", "&amp;CHAR(10), TRUE, (IF(C25:AY25&lt;&gt;"",_xlfn.ANCHORARRAY( $C$2), ""))))</f>
        <v/>
      </c>
      <c r="C25" s="70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1"/>
      <c r="AX25" s="71"/>
      <c r="AY25" s="72"/>
    </row>
    <row r="26" spans="1:51" s="571" customFormat="1" x14ac:dyDescent="0.3">
      <c r="A26" s="574" t="str">
        <v/>
      </c>
      <c r="B26" s="560" t="str" cm="1">
        <f t="array" ref="B26">IF(A26="", "", _xlfn.TEXTJOIN(", "&amp;CHAR(10), TRUE, (IF(C26:AY26&lt;&gt;"",_xlfn.ANCHORARRAY( $C$2), ""))))</f>
        <v/>
      </c>
      <c r="C26" s="70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2"/>
    </row>
    <row r="27" spans="1:51" s="571" customFormat="1" x14ac:dyDescent="0.3">
      <c r="A27" s="574" t="str">
        <v/>
      </c>
      <c r="B27" s="560" t="str" cm="1">
        <f t="array" ref="B27">IF(A27="", "", _xlfn.TEXTJOIN(", "&amp;CHAR(10), TRUE, (IF(C27:AY27&lt;&gt;"",_xlfn.ANCHORARRAY( $C$2), ""))))</f>
        <v/>
      </c>
      <c r="C27" s="70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2"/>
    </row>
    <row r="28" spans="1:51" s="571" customFormat="1" x14ac:dyDescent="0.3">
      <c r="A28" s="574" t="str">
        <v/>
      </c>
      <c r="B28" s="560" t="str" cm="1">
        <f t="array" ref="B28">IF(A28="", "", _xlfn.TEXTJOIN(", "&amp;CHAR(10), TRUE, (IF(C28:AY28&lt;&gt;"",_xlfn.ANCHORARRAY( $C$2), ""))))</f>
        <v/>
      </c>
      <c r="C28" s="70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2"/>
    </row>
    <row r="29" spans="1:51" s="571" customFormat="1" x14ac:dyDescent="0.3">
      <c r="A29" s="574" t="str">
        <v/>
      </c>
      <c r="B29" s="560" t="str" cm="1">
        <f t="array" ref="B29">IF(A29="", "", _xlfn.TEXTJOIN(", "&amp;CHAR(10), TRUE, (IF(C29:AY29&lt;&gt;"",_xlfn.ANCHORARRAY( $C$2), ""))))</f>
        <v/>
      </c>
      <c r="C29" s="70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2"/>
    </row>
    <row r="30" spans="1:51" s="571" customFormat="1" x14ac:dyDescent="0.3">
      <c r="A30" s="574" t="str">
        <v/>
      </c>
      <c r="B30" s="560" t="str" cm="1">
        <f t="array" ref="B30">IF(A30="", "", _xlfn.TEXTJOIN(", "&amp;CHAR(10), TRUE, (IF(C30:AY30&lt;&gt;"",_xlfn.ANCHORARRAY( $C$2), ""))))</f>
        <v/>
      </c>
      <c r="C30" s="70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2"/>
    </row>
    <row r="31" spans="1:51" s="571" customFormat="1" x14ac:dyDescent="0.3">
      <c r="A31" s="574" t="str">
        <v/>
      </c>
      <c r="B31" s="560" t="str" cm="1">
        <f t="array" ref="B31">IF(A31="", "", _xlfn.TEXTJOIN(", "&amp;CHAR(10), TRUE, (IF(C31:AY31&lt;&gt;"",_xlfn.ANCHORARRAY( $C$2), ""))))</f>
        <v/>
      </c>
      <c r="C31" s="70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  <c r="AS31" s="71"/>
      <c r="AT31" s="71"/>
      <c r="AU31" s="71"/>
      <c r="AV31" s="71"/>
      <c r="AW31" s="71"/>
      <c r="AX31" s="71"/>
      <c r="AY31" s="72"/>
    </row>
    <row r="32" spans="1:51" s="571" customFormat="1" x14ac:dyDescent="0.3">
      <c r="A32" s="574" t="str">
        <v/>
      </c>
      <c r="B32" s="560" t="str" cm="1">
        <f t="array" ref="B32">IF(A32="", "", _xlfn.TEXTJOIN(", "&amp;CHAR(10), TRUE, (IF(C32:AY32&lt;&gt;"",_xlfn.ANCHORARRAY( $C$2), ""))))</f>
        <v/>
      </c>
      <c r="C32" s="70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2"/>
    </row>
    <row r="33" spans="1:51" s="571" customFormat="1" x14ac:dyDescent="0.3">
      <c r="A33" s="574" t="str">
        <v/>
      </c>
      <c r="B33" s="560" t="str" cm="1">
        <f t="array" ref="B33">IF(A33="", "", _xlfn.TEXTJOIN(", "&amp;CHAR(10), TRUE, (IF(C33:AY33&lt;&gt;"",_xlfn.ANCHORARRAY( $C$2), ""))))</f>
        <v/>
      </c>
      <c r="C33" s="70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  <c r="AQ33" s="71"/>
      <c r="AR33" s="71"/>
      <c r="AS33" s="71"/>
      <c r="AT33" s="71"/>
      <c r="AU33" s="71"/>
      <c r="AV33" s="71"/>
      <c r="AW33" s="71"/>
      <c r="AX33" s="71"/>
      <c r="AY33" s="72"/>
    </row>
    <row r="34" spans="1:51" s="571" customFormat="1" x14ac:dyDescent="0.3">
      <c r="A34" s="574" t="str">
        <v/>
      </c>
      <c r="B34" s="560" t="str" cm="1">
        <f t="array" ref="B34">IF(A34="", "", _xlfn.TEXTJOIN(", "&amp;CHAR(10), TRUE, (IF(C34:AY34&lt;&gt;"",_xlfn.ANCHORARRAY( $C$2), ""))))</f>
        <v/>
      </c>
      <c r="C34" s="70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1"/>
      <c r="AW34" s="71"/>
      <c r="AX34" s="71"/>
      <c r="AY34" s="72"/>
    </row>
    <row r="35" spans="1:51" s="571" customFormat="1" x14ac:dyDescent="0.3">
      <c r="A35" s="574" t="str">
        <v/>
      </c>
      <c r="B35" s="560" t="str" cm="1">
        <f t="array" ref="B35">IF(A35="", "", _xlfn.TEXTJOIN(", "&amp;CHAR(10), TRUE, (IF(C35:AY35&lt;&gt;"",_xlfn.ANCHORARRAY( $C$2), ""))))</f>
        <v/>
      </c>
      <c r="C35" s="70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2"/>
    </row>
    <row r="36" spans="1:51" s="571" customFormat="1" x14ac:dyDescent="0.3">
      <c r="A36" s="574" t="str">
        <v/>
      </c>
      <c r="B36" s="560" t="str" cm="1">
        <f t="array" ref="B36">IF(A36="", "", _xlfn.TEXTJOIN(", "&amp;CHAR(10), TRUE, (IF(C36:AY36&lt;&gt;"",_xlfn.ANCHORARRAY( $C$2), ""))))</f>
        <v/>
      </c>
      <c r="C36" s="70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2"/>
    </row>
    <row r="37" spans="1:51" s="571" customFormat="1" x14ac:dyDescent="0.3">
      <c r="A37" s="574" t="str">
        <v/>
      </c>
      <c r="B37" s="560" t="str" cm="1">
        <f t="array" ref="B37">IF(A37="", "", _xlfn.TEXTJOIN(", "&amp;CHAR(10), TRUE, (IF(C37:AY37&lt;&gt;"",_xlfn.ANCHORARRAY( $C$2), ""))))</f>
        <v/>
      </c>
      <c r="C37" s="70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2"/>
    </row>
    <row r="38" spans="1:51" s="571" customFormat="1" x14ac:dyDescent="0.3">
      <c r="A38" s="574" t="str">
        <v/>
      </c>
      <c r="B38" s="560" t="str" cm="1">
        <f t="array" ref="B38">IF(A38="", "", _xlfn.TEXTJOIN(", "&amp;CHAR(10), TRUE, (IF(C38:AY38&lt;&gt;"",_xlfn.ANCHORARRAY( $C$2), ""))))</f>
        <v/>
      </c>
      <c r="C38" s="70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2"/>
    </row>
    <row r="39" spans="1:51" s="571" customFormat="1" x14ac:dyDescent="0.3">
      <c r="A39" s="574" t="str">
        <v/>
      </c>
      <c r="B39" s="560" t="str" cm="1">
        <f t="array" ref="B39">IF(A39="", "", _xlfn.TEXTJOIN(", "&amp;CHAR(10), TRUE, (IF(C39:AY39&lt;&gt;"",_xlfn.ANCHORARRAY( $C$2), ""))))</f>
        <v/>
      </c>
      <c r="C39" s="70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2"/>
    </row>
    <row r="40" spans="1:51" s="571" customFormat="1" x14ac:dyDescent="0.3">
      <c r="A40" s="574" t="str">
        <v/>
      </c>
      <c r="B40" s="560" t="str" cm="1">
        <f t="array" ref="B40">IF(A40="", "", _xlfn.TEXTJOIN(", "&amp;CHAR(10), TRUE, (IF(C40:AY40&lt;&gt;"",_xlfn.ANCHORARRAY( $C$2), ""))))</f>
        <v/>
      </c>
      <c r="C40" s="70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2"/>
    </row>
    <row r="41" spans="1:51" s="571" customFormat="1" x14ac:dyDescent="0.3">
      <c r="A41" s="574" t="str">
        <v/>
      </c>
      <c r="B41" s="560" t="str" cm="1">
        <f t="array" ref="B41">IF(A41="", "", _xlfn.TEXTJOIN(", "&amp;CHAR(10), TRUE, (IF(C41:AY41&lt;&gt;"",_xlfn.ANCHORARRAY( $C$2), ""))))</f>
        <v/>
      </c>
      <c r="C41" s="70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2"/>
    </row>
    <row r="42" spans="1:51" s="571" customFormat="1" x14ac:dyDescent="0.3">
      <c r="A42" s="574" t="str">
        <v/>
      </c>
      <c r="B42" s="560" t="str" cm="1">
        <f t="array" ref="B42">IF(A42="", "", _xlfn.TEXTJOIN(", "&amp;CHAR(10), TRUE, (IF(C42:AY42&lt;&gt;"",_xlfn.ANCHORARRAY( $C$2), ""))))</f>
        <v/>
      </c>
      <c r="C42" s="70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2"/>
    </row>
    <row r="43" spans="1:51" s="571" customFormat="1" x14ac:dyDescent="0.3">
      <c r="A43" s="574" t="str">
        <v/>
      </c>
      <c r="B43" s="560" t="str" cm="1">
        <f t="array" ref="B43">IF(A43="", "", _xlfn.TEXTJOIN(", "&amp;CHAR(10), TRUE, (IF(C43:AY43&lt;&gt;"",_xlfn.ANCHORARRAY( $C$2), ""))))</f>
        <v/>
      </c>
      <c r="C43" s="70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2"/>
    </row>
    <row r="44" spans="1:51" s="571" customFormat="1" x14ac:dyDescent="0.3">
      <c r="A44" s="574" t="str">
        <v/>
      </c>
      <c r="B44" s="560" t="str" cm="1">
        <f t="array" ref="B44">IF(A44="", "", _xlfn.TEXTJOIN(", "&amp;CHAR(10), TRUE, (IF(C44:AY44&lt;&gt;"",_xlfn.ANCHORARRAY( $C$2), ""))))</f>
        <v/>
      </c>
      <c r="C44" s="70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2"/>
    </row>
    <row r="45" spans="1:51" s="571" customFormat="1" x14ac:dyDescent="0.3">
      <c r="A45" s="574" t="str">
        <v/>
      </c>
      <c r="B45" s="560" t="str" cm="1">
        <f t="array" ref="B45">IF(A45="", "", _xlfn.TEXTJOIN(", "&amp;CHAR(10), TRUE, (IF(C45:AY45&lt;&gt;"",_xlfn.ANCHORARRAY( $C$2), ""))))</f>
        <v/>
      </c>
      <c r="C45" s="70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2"/>
    </row>
    <row r="46" spans="1:51" s="571" customFormat="1" x14ac:dyDescent="0.3">
      <c r="A46" s="574" t="str">
        <v/>
      </c>
      <c r="B46" s="560" t="str" cm="1">
        <f t="array" ref="B46">IF(A46="", "", _xlfn.TEXTJOIN(", "&amp;CHAR(10), TRUE, (IF(C46:AY46&lt;&gt;"",_xlfn.ANCHORARRAY( $C$2), ""))))</f>
        <v/>
      </c>
      <c r="C46" s="70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2"/>
    </row>
    <row r="47" spans="1:51" s="571" customFormat="1" x14ac:dyDescent="0.3">
      <c r="A47" s="574" t="str">
        <v/>
      </c>
      <c r="B47" s="560" t="str" cm="1">
        <f t="array" ref="B47">IF(A47="", "", _xlfn.TEXTJOIN(", "&amp;CHAR(10), TRUE, (IF(C47:AY47&lt;&gt;"",_xlfn.ANCHORARRAY( $C$2), ""))))</f>
        <v/>
      </c>
      <c r="C47" s="70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2"/>
    </row>
    <row r="48" spans="1:51" s="571" customFormat="1" x14ac:dyDescent="0.3">
      <c r="A48" s="574" t="str">
        <v/>
      </c>
      <c r="B48" s="560" t="str" cm="1">
        <f t="array" ref="B48">IF(A48="", "", _xlfn.TEXTJOIN(", "&amp;CHAR(10), TRUE, (IF(C48:AY48&lt;&gt;"",_xlfn.ANCHORARRAY( $C$2), ""))))</f>
        <v/>
      </c>
      <c r="C48" s="70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2"/>
    </row>
    <row r="49" spans="1:51" s="571" customFormat="1" x14ac:dyDescent="0.3">
      <c r="A49" s="574" t="str">
        <v/>
      </c>
      <c r="B49" s="560" t="str" cm="1">
        <f t="array" ref="B49">IF(A49="", "", _xlfn.TEXTJOIN(", "&amp;CHAR(10), TRUE, (IF(C49:AY49&lt;&gt;"",_xlfn.ANCHORARRAY( $C$2), ""))))</f>
        <v/>
      </c>
      <c r="C49" s="70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2"/>
    </row>
    <row r="50" spans="1:51" s="571" customFormat="1" x14ac:dyDescent="0.3">
      <c r="A50" s="574" t="str">
        <v/>
      </c>
      <c r="B50" s="560" t="str" cm="1">
        <f t="array" ref="B50">IF(A50="", "", _xlfn.TEXTJOIN(", "&amp;CHAR(10), TRUE, (IF(C50:AY50&lt;&gt;"",_xlfn.ANCHORARRAY( $C$2), ""))))</f>
        <v/>
      </c>
      <c r="C50" s="70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2"/>
    </row>
    <row r="51" spans="1:51" s="571" customFormat="1" x14ac:dyDescent="0.3">
      <c r="A51" s="574" t="str">
        <v/>
      </c>
      <c r="B51" s="560" t="str" cm="1">
        <f t="array" ref="B51">IF(A51="", "", _xlfn.TEXTJOIN(", "&amp;CHAR(10), TRUE, (IF(C51:AY51&lt;&gt;"",_xlfn.ANCHORARRAY( $C$2), ""))))</f>
        <v/>
      </c>
      <c r="C51" s="70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2"/>
    </row>
    <row r="52" spans="1:51" s="265" customFormat="1" ht="17.25" thickBot="1" x14ac:dyDescent="0.35">
      <c r="A52" s="575" t="str">
        <v/>
      </c>
      <c r="B52" s="562" t="str" cm="1">
        <f t="array" ref="B52">IF(A52="", "", _xlfn.TEXTJOIN(", "&amp;CHAR(10), TRUE, (IF(C52:AY52&lt;&gt;"",_xlfn.ANCHORARRAY( $C$2), ""))))</f>
        <v/>
      </c>
      <c r="C52" s="73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5"/>
    </row>
  </sheetData>
  <sheetProtection algorithmName="SHA-512" hashValue="hYZ13po5AiaBkecEbXEO2EKOdrc5VS6VxQk0aAQosv7UkXGxyh3a2qDDPuehlmSfI8+hoYvDemMU4LwHHHE+MQ==" saltValue="oAwSKnnMLpxTOCYATofJlw==" spinCount="100000" sheet="1" objects="1" scenarios="1" formatColumns="0" formatRows="0"/>
  <protectedRanges>
    <protectedRange sqref="C4:AY52" name="Mapping_Entities_Interfaces"/>
  </protectedRanges>
  <conditionalFormatting sqref="C4:AY52">
    <cfRule type="notContainsBlanks" dxfId="19" priority="1">
      <formula>LEN(TRIM(C4))&gt;0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0BC5C-4C01-4BB4-BECE-1005E29B1D05}">
  <sheetPr>
    <tabColor theme="2"/>
    <pageSetUpPr autoPageBreaks="0"/>
  </sheetPr>
  <dimension ref="A1:CZ51"/>
  <sheetViews>
    <sheetView zoomScale="55" zoomScaleNormal="55" workbookViewId="0"/>
  </sheetViews>
  <sheetFormatPr defaultColWidth="16" defaultRowHeight="16.5" x14ac:dyDescent="0.3"/>
  <cols>
    <col min="1" max="1" width="21.75" style="15" customWidth="1"/>
    <col min="2" max="2" width="20.625" style="15" customWidth="1"/>
    <col min="3" max="3" width="22.5" customWidth="1"/>
    <col min="4" max="4" width="40.375" customWidth="1"/>
    <col min="5" max="5" width="34.375" style="15" customWidth="1"/>
    <col min="6" max="6" width="34.875" customWidth="1"/>
    <col min="7" max="7" width="32.875" style="15" customWidth="1"/>
    <col min="8" max="8" width="42.75" customWidth="1"/>
    <col min="9" max="9" width="40.25" bestFit="1" customWidth="1"/>
    <col min="10" max="11" width="39.75" customWidth="1"/>
    <col min="12" max="12" width="61.5" customWidth="1"/>
    <col min="13" max="13" width="21.25" bestFit="1" customWidth="1"/>
    <col min="14" max="14" width="39.75" customWidth="1"/>
    <col min="15" max="15" width="61.5" customWidth="1"/>
    <col min="16" max="16" width="39.375" style="15" customWidth="1"/>
    <col min="17" max="17" width="33.125" style="15" customWidth="1"/>
    <col min="18" max="18" width="34.5" style="14" customWidth="1"/>
    <col min="19" max="19" width="33.125" style="15" customWidth="1"/>
    <col min="20" max="20" width="20.625" style="15" customWidth="1"/>
    <col min="21" max="21" width="22.5" customWidth="1"/>
    <col min="22" max="22" width="24.125" style="16" customWidth="1"/>
    <col min="23" max="23" width="40.625" customWidth="1"/>
    <col min="24" max="24" width="24.875" customWidth="1"/>
    <col min="25" max="25" width="25.75" style="14" customWidth="1"/>
    <col min="26" max="26" width="52.375" customWidth="1"/>
    <col min="27" max="27" width="53.75" customWidth="1"/>
    <col min="28" max="28" width="58" customWidth="1"/>
    <col min="29" max="29" width="18.375" bestFit="1" customWidth="1"/>
    <col min="30" max="31" width="20.125" style="14" bestFit="1" customWidth="1"/>
    <col min="32" max="32" width="44.75" style="14" customWidth="1"/>
    <col min="33" max="35" width="62.625" style="14" customWidth="1"/>
    <col min="36" max="36" width="20.625" style="14" customWidth="1"/>
    <col min="37" max="37" width="45.375" style="14" customWidth="1"/>
    <col min="38" max="38" width="49.625" style="14" customWidth="1"/>
    <col min="39" max="40" width="20.625" style="14" customWidth="1"/>
    <col min="41" max="41" width="34.375" style="14" customWidth="1"/>
    <col min="42" max="42" width="58.875" style="14" customWidth="1"/>
    <col min="43" max="43" width="34.375" style="14" customWidth="1"/>
    <col min="44" max="44" width="57.5" style="14" customWidth="1"/>
    <col min="45" max="45" width="42.625" style="14" customWidth="1"/>
    <col min="46" max="46" width="33.25" style="14" customWidth="1"/>
    <col min="47" max="47" width="37.125" style="14" customWidth="1"/>
    <col min="48" max="49" width="42.5" style="14" customWidth="1"/>
    <col min="50" max="53" width="20.625" style="14" customWidth="1"/>
    <col min="54" max="55" width="58.25" style="14" customWidth="1"/>
    <col min="56" max="58" width="20.625" style="14" customWidth="1"/>
    <col min="59" max="59" width="58.25" style="14" customWidth="1"/>
    <col min="60" max="60" width="42.625" style="14" customWidth="1"/>
    <col min="61" max="61" width="20.625" style="14" customWidth="1"/>
    <col min="62" max="62" width="32.75" style="14" customWidth="1"/>
    <col min="63" max="63" width="58.25" customWidth="1"/>
    <col min="64" max="65" width="20.625" style="14" customWidth="1"/>
    <col min="66" max="66" width="45.875" style="14" customWidth="1"/>
    <col min="67" max="67" width="37.625" style="14" customWidth="1"/>
    <col min="68" max="68" width="36.75" style="14" customWidth="1"/>
    <col min="69" max="69" width="37.625" style="14" customWidth="1"/>
    <col min="70" max="70" width="48.125" style="14" customWidth="1"/>
    <col min="71" max="71" width="37.625" style="14" customWidth="1"/>
    <col min="72" max="72" width="48.125" style="14" customWidth="1"/>
    <col min="73" max="73" width="74" style="14" customWidth="1"/>
    <col min="74" max="77" width="20.625" style="14" customWidth="1"/>
    <col min="78" max="78" width="58.25" style="14" customWidth="1"/>
    <col min="79" max="79" width="48.25" style="14" customWidth="1"/>
    <col min="80" max="81" width="20.625" style="14" customWidth="1"/>
    <col min="82" max="82" width="58.25" style="14" customWidth="1"/>
    <col min="83" max="83" width="42.125" style="14" customWidth="1"/>
    <col min="84" max="86" width="20.625" style="14" customWidth="1"/>
    <col min="87" max="87" width="58.25" style="14" customWidth="1"/>
    <col min="88" max="88" width="21.25" style="14" customWidth="1"/>
    <col min="89" max="89" width="22.625" style="14" customWidth="1"/>
    <col min="90" max="90" width="58.25" style="14" customWidth="1"/>
    <col min="91" max="91" width="20.625" style="14" customWidth="1"/>
    <col min="92" max="92" width="54.75" style="14" customWidth="1"/>
    <col min="93" max="93" width="43.25" style="14" customWidth="1"/>
    <col min="94" max="94" width="41.25" style="14" customWidth="1"/>
    <col min="95" max="95" width="51" customWidth="1"/>
    <col min="96" max="96" width="42.625" style="14" customWidth="1"/>
    <col min="97" max="97" width="55" style="14" customWidth="1"/>
    <col min="98" max="98" width="37.125" style="14" customWidth="1"/>
    <col min="99" max="99" width="38.5" style="14" customWidth="1"/>
    <col min="100" max="100" width="65.375" style="14" customWidth="1"/>
    <col min="101" max="101" width="39" customWidth="1"/>
    <col min="102" max="102" width="38.625" style="14" customWidth="1"/>
    <col min="103" max="103" width="42.375" style="14" customWidth="1"/>
    <col min="104" max="104" width="39" customWidth="1"/>
    <col min="105" max="106" width="20.625" style="14" customWidth="1"/>
    <col min="107" max="107" width="26.625" style="14" customWidth="1"/>
    <col min="108" max="109" width="20.625" style="14" customWidth="1"/>
    <col min="110" max="110" width="26.625" style="14" customWidth="1"/>
    <col min="111" max="112" width="20.625" style="14" customWidth="1"/>
    <col min="113" max="113" width="26.625" style="14" customWidth="1"/>
    <col min="114" max="115" width="20.625" style="14" customWidth="1"/>
    <col min="116" max="116" width="26.625" style="14" customWidth="1"/>
    <col min="117" max="118" width="20.625" style="14" customWidth="1"/>
    <col min="119" max="119" width="26.625" style="14" customWidth="1"/>
    <col min="120" max="121" width="20.625" style="14" customWidth="1"/>
    <col min="122" max="122" width="26.625" style="14" customWidth="1"/>
    <col min="123" max="124" width="20.625" style="14" customWidth="1"/>
    <col min="125" max="125" width="26.625" style="14" customWidth="1"/>
    <col min="126" max="127" width="20.625" style="14" customWidth="1"/>
    <col min="128" max="128" width="26.625" style="14" customWidth="1"/>
    <col min="129" max="130" width="20.625" style="14" customWidth="1"/>
    <col min="131" max="131" width="26.625" style="14" customWidth="1"/>
    <col min="132" max="133" width="20.625" style="14" customWidth="1"/>
    <col min="134" max="134" width="26.625" style="14" customWidth="1"/>
    <col min="135" max="16384" width="16" style="14"/>
  </cols>
  <sheetData>
    <row r="1" spans="1:104" s="270" customFormat="1" ht="42.75" x14ac:dyDescent="0.25">
      <c r="A1" s="194" t="s">
        <v>386</v>
      </c>
      <c r="B1" s="194"/>
      <c r="C1" s="267"/>
      <c r="D1" s="212" t="s">
        <v>274</v>
      </c>
      <c r="E1" s="268"/>
      <c r="F1" s="267" t="s">
        <v>3</v>
      </c>
      <c r="G1" s="194"/>
      <c r="H1" s="212" t="s">
        <v>280</v>
      </c>
      <c r="I1" s="327"/>
      <c r="J1" s="267"/>
      <c r="K1" s="267" t="s">
        <v>30</v>
      </c>
      <c r="L1" s="267"/>
      <c r="M1" s="267"/>
      <c r="N1" s="267" t="s">
        <v>32</v>
      </c>
      <c r="O1" s="267"/>
      <c r="P1" s="267"/>
      <c r="Q1" s="267"/>
      <c r="R1" s="267"/>
      <c r="S1" s="267"/>
      <c r="T1" s="267"/>
      <c r="U1" s="267"/>
      <c r="V1" s="267"/>
      <c r="W1" s="196" t="s">
        <v>177</v>
      </c>
      <c r="X1" s="197"/>
      <c r="Y1" s="197"/>
      <c r="Z1" s="198"/>
      <c r="AA1" s="196" t="s">
        <v>112</v>
      </c>
      <c r="AF1" s="196" t="s">
        <v>138</v>
      </c>
      <c r="AH1" s="196" t="s">
        <v>144</v>
      </c>
      <c r="AK1" s="196" t="s">
        <v>8</v>
      </c>
      <c r="AO1" s="196" t="s">
        <v>146</v>
      </c>
      <c r="AP1" s="196"/>
      <c r="AQ1" s="196" t="s">
        <v>11</v>
      </c>
      <c r="AU1" s="196" t="s">
        <v>176</v>
      </c>
      <c r="AW1" s="196" t="s">
        <v>13</v>
      </c>
      <c r="BC1" s="196" t="s">
        <v>14</v>
      </c>
      <c r="BJ1" s="196" t="s">
        <v>206</v>
      </c>
      <c r="BK1" s="196" t="s">
        <v>206</v>
      </c>
      <c r="BL1" s="196"/>
      <c r="BM1" s="196"/>
      <c r="BO1" s="196" t="s">
        <v>206</v>
      </c>
      <c r="BQ1" s="196" t="s">
        <v>16</v>
      </c>
      <c r="BS1" s="196" t="s">
        <v>16</v>
      </c>
      <c r="BU1" s="196" t="s">
        <v>17</v>
      </c>
      <c r="CA1" s="196" t="s">
        <v>18</v>
      </c>
      <c r="CE1" s="196" t="s">
        <v>19</v>
      </c>
      <c r="CK1" s="196" t="s">
        <v>68</v>
      </c>
      <c r="CN1" s="196" t="s">
        <v>237</v>
      </c>
      <c r="CR1" s="196" t="s">
        <v>211</v>
      </c>
      <c r="CU1" s="196" t="s">
        <v>22</v>
      </c>
      <c r="CX1" s="196" t="s">
        <v>24</v>
      </c>
    </row>
    <row r="2" spans="1:104" s="385" customFormat="1" ht="86.25" x14ac:dyDescent="0.3">
      <c r="A2" s="360" t="s">
        <v>1</v>
      </c>
      <c r="B2" s="361" t="s">
        <v>50</v>
      </c>
      <c r="C2" s="362" t="s">
        <v>2</v>
      </c>
      <c r="D2" s="223" t="s">
        <v>105</v>
      </c>
      <c r="E2" s="136" t="s">
        <v>134</v>
      </c>
      <c r="F2" s="363" t="s">
        <v>100</v>
      </c>
      <c r="G2" s="183" t="s">
        <v>110</v>
      </c>
      <c r="H2" s="223" t="s">
        <v>275</v>
      </c>
      <c r="I2" s="136" t="s">
        <v>111</v>
      </c>
      <c r="J2" s="364" t="s">
        <v>29</v>
      </c>
      <c r="K2" s="365" t="s">
        <v>276</v>
      </c>
      <c r="L2" s="136" t="s">
        <v>277</v>
      </c>
      <c r="M2" s="366" t="s">
        <v>31</v>
      </c>
      <c r="N2" s="136" t="s">
        <v>102</v>
      </c>
      <c r="O2" s="136" t="s">
        <v>278</v>
      </c>
      <c r="P2" s="367" t="s">
        <v>33</v>
      </c>
      <c r="Q2" s="136" t="s">
        <v>279</v>
      </c>
      <c r="R2" s="367" t="s">
        <v>34</v>
      </c>
      <c r="S2" s="183" t="s">
        <v>281</v>
      </c>
      <c r="T2" s="368" t="s">
        <v>4</v>
      </c>
      <c r="U2" s="369" t="s">
        <v>5</v>
      </c>
      <c r="V2" s="369" t="s">
        <v>60</v>
      </c>
      <c r="W2" s="224" t="s">
        <v>113</v>
      </c>
      <c r="X2" s="370" t="s">
        <v>114</v>
      </c>
      <c r="Y2" s="371" t="s">
        <v>131</v>
      </c>
      <c r="Z2" s="224" t="s">
        <v>133</v>
      </c>
      <c r="AA2" s="225" t="s">
        <v>136</v>
      </c>
      <c r="AB2" s="372" t="s">
        <v>135</v>
      </c>
      <c r="AC2" s="367" t="s">
        <v>6</v>
      </c>
      <c r="AD2" s="373" t="s">
        <v>35</v>
      </c>
      <c r="AE2" s="373" t="s">
        <v>36</v>
      </c>
      <c r="AF2" s="226" t="s">
        <v>103</v>
      </c>
      <c r="AG2" s="227" t="s">
        <v>137</v>
      </c>
      <c r="AH2" s="374" t="s">
        <v>139</v>
      </c>
      <c r="AI2" s="227" t="s">
        <v>142</v>
      </c>
      <c r="AJ2" s="367" t="s">
        <v>7</v>
      </c>
      <c r="AK2" s="227" t="s">
        <v>140</v>
      </c>
      <c r="AL2" s="227" t="s">
        <v>141</v>
      </c>
      <c r="AM2" s="375" t="s">
        <v>9</v>
      </c>
      <c r="AN2" s="376" t="s">
        <v>10</v>
      </c>
      <c r="AO2" s="377" t="s">
        <v>143</v>
      </c>
      <c r="AP2" s="227" t="s">
        <v>145</v>
      </c>
      <c r="AQ2" s="378" t="s">
        <v>148</v>
      </c>
      <c r="AR2" s="227" t="s">
        <v>147</v>
      </c>
      <c r="AS2" s="379" t="s">
        <v>164</v>
      </c>
      <c r="AT2" s="373" t="s">
        <v>12</v>
      </c>
      <c r="AU2" s="380" t="s">
        <v>101</v>
      </c>
      <c r="AV2" s="228" t="s">
        <v>162</v>
      </c>
      <c r="AW2" s="229" t="s">
        <v>174</v>
      </c>
      <c r="AX2" s="122" t="s">
        <v>166</v>
      </c>
      <c r="AY2" s="121" t="s">
        <v>165</v>
      </c>
      <c r="AZ2" s="121" t="s">
        <v>167</v>
      </c>
      <c r="BA2" s="121" t="s">
        <v>168</v>
      </c>
      <c r="BB2" s="230" t="s">
        <v>163</v>
      </c>
      <c r="BC2" s="229" t="s">
        <v>173</v>
      </c>
      <c r="BD2" s="122" t="s">
        <v>169</v>
      </c>
      <c r="BE2" s="121" t="s">
        <v>170</v>
      </c>
      <c r="BF2" s="121" t="s">
        <v>171</v>
      </c>
      <c r="BG2" s="381" t="s">
        <v>172</v>
      </c>
      <c r="BH2" s="583" t="s">
        <v>175</v>
      </c>
      <c r="BI2" s="578" t="s">
        <v>15</v>
      </c>
      <c r="BJ2" s="131" t="s">
        <v>454</v>
      </c>
      <c r="BK2" s="231" t="s">
        <v>192</v>
      </c>
      <c r="BL2" s="131" t="s">
        <v>178</v>
      </c>
      <c r="BM2" s="132" t="s">
        <v>186</v>
      </c>
      <c r="BN2" s="232" t="s">
        <v>185</v>
      </c>
      <c r="BO2" s="231" t="s">
        <v>187</v>
      </c>
      <c r="BP2" s="231" t="s">
        <v>184</v>
      </c>
      <c r="BQ2" s="231" t="s">
        <v>188</v>
      </c>
      <c r="BR2" s="231" t="s">
        <v>189</v>
      </c>
      <c r="BS2" s="231" t="s">
        <v>190</v>
      </c>
      <c r="BT2" s="231" t="s">
        <v>191</v>
      </c>
      <c r="BU2" s="233" t="s">
        <v>197</v>
      </c>
      <c r="BV2" s="128" t="s">
        <v>193</v>
      </c>
      <c r="BW2" s="129" t="s">
        <v>194</v>
      </c>
      <c r="BX2" s="129" t="s">
        <v>195</v>
      </c>
      <c r="BY2" s="129" t="s">
        <v>196</v>
      </c>
      <c r="BZ2" s="234" t="s">
        <v>198</v>
      </c>
      <c r="CA2" s="235" t="s">
        <v>202</v>
      </c>
      <c r="CB2" s="131" t="s">
        <v>200</v>
      </c>
      <c r="CC2" s="132" t="s">
        <v>199</v>
      </c>
      <c r="CD2" s="236" t="s">
        <v>201</v>
      </c>
      <c r="CE2" s="233" t="s">
        <v>203</v>
      </c>
      <c r="CF2" s="128" t="s">
        <v>204</v>
      </c>
      <c r="CG2" s="129" t="s">
        <v>106</v>
      </c>
      <c r="CH2" s="129" t="s">
        <v>205</v>
      </c>
      <c r="CI2" s="237" t="s">
        <v>232</v>
      </c>
      <c r="CJ2" s="238" t="s">
        <v>69</v>
      </c>
      <c r="CK2" s="239" t="s">
        <v>108</v>
      </c>
      <c r="CL2" s="240" t="s">
        <v>236</v>
      </c>
      <c r="CM2" s="174" t="s">
        <v>70</v>
      </c>
      <c r="CN2" s="587" t="s">
        <v>238</v>
      </c>
      <c r="CO2" s="588" t="s">
        <v>239</v>
      </c>
      <c r="CP2" s="136" t="s">
        <v>214</v>
      </c>
      <c r="CQ2" s="382" t="s">
        <v>20</v>
      </c>
      <c r="CR2" s="383" t="s">
        <v>208</v>
      </c>
      <c r="CS2" s="136" t="s">
        <v>207</v>
      </c>
      <c r="CT2" s="176" t="s">
        <v>21</v>
      </c>
      <c r="CU2" s="384" t="s">
        <v>209</v>
      </c>
      <c r="CV2" s="136" t="s">
        <v>210</v>
      </c>
      <c r="CW2" s="176" t="s">
        <v>23</v>
      </c>
      <c r="CX2" s="384" t="s">
        <v>212</v>
      </c>
      <c r="CY2" s="136" t="s">
        <v>213</v>
      </c>
    </row>
    <row r="3" spans="1:104" s="283" customFormat="1" ht="116.25" thickBot="1" x14ac:dyDescent="0.35">
      <c r="A3" s="286" t="s">
        <v>296</v>
      </c>
      <c r="B3" s="274" t="s">
        <v>297</v>
      </c>
      <c r="C3" s="273" t="s">
        <v>298</v>
      </c>
      <c r="D3" s="274" t="s">
        <v>299</v>
      </c>
      <c r="E3" s="274" t="s">
        <v>300</v>
      </c>
      <c r="F3" s="287" t="s">
        <v>301</v>
      </c>
      <c r="G3" s="286" t="s">
        <v>302</v>
      </c>
      <c r="H3" s="288" t="s">
        <v>366</v>
      </c>
      <c r="I3" s="289" t="s">
        <v>372</v>
      </c>
      <c r="J3" s="290" t="s">
        <v>284</v>
      </c>
      <c r="K3" s="274" t="s">
        <v>303</v>
      </c>
      <c r="L3" s="289" t="s">
        <v>304</v>
      </c>
      <c r="M3" s="290" t="s">
        <v>284</v>
      </c>
      <c r="N3" s="274" t="s">
        <v>305</v>
      </c>
      <c r="O3" s="289" t="s">
        <v>304</v>
      </c>
      <c r="P3" s="273" t="s">
        <v>284</v>
      </c>
      <c r="Q3" s="289" t="s">
        <v>306</v>
      </c>
      <c r="R3" s="273" t="s">
        <v>284</v>
      </c>
      <c r="S3" s="291" t="s">
        <v>307</v>
      </c>
      <c r="T3" s="273" t="s">
        <v>284</v>
      </c>
      <c r="U3" s="292" t="s">
        <v>284</v>
      </c>
      <c r="V3" s="292" t="s">
        <v>284</v>
      </c>
      <c r="W3" s="293" t="s">
        <v>367</v>
      </c>
      <c r="X3" s="294" t="s">
        <v>308</v>
      </c>
      <c r="Y3" s="295" t="s">
        <v>309</v>
      </c>
      <c r="Z3" s="296" t="s">
        <v>310</v>
      </c>
      <c r="AA3" s="297" t="s">
        <v>311</v>
      </c>
      <c r="AB3" s="298" t="s">
        <v>312</v>
      </c>
      <c r="AC3" s="273" t="s">
        <v>284</v>
      </c>
      <c r="AD3" s="292" t="s">
        <v>284</v>
      </c>
      <c r="AE3" s="292" t="s">
        <v>284</v>
      </c>
      <c r="AF3" s="299" t="s">
        <v>311</v>
      </c>
      <c r="AG3" s="300" t="s">
        <v>313</v>
      </c>
      <c r="AH3" s="301" t="s">
        <v>314</v>
      </c>
      <c r="AI3" s="300" t="s">
        <v>315</v>
      </c>
      <c r="AJ3" s="273" t="s">
        <v>284</v>
      </c>
      <c r="AK3" s="302" t="s">
        <v>314</v>
      </c>
      <c r="AL3" s="300" t="s">
        <v>316</v>
      </c>
      <c r="AM3" s="303" t="s">
        <v>284</v>
      </c>
      <c r="AN3" s="304" t="s">
        <v>284</v>
      </c>
      <c r="AO3" s="305" t="s">
        <v>317</v>
      </c>
      <c r="AP3" s="300" t="s">
        <v>318</v>
      </c>
      <c r="AQ3" s="278" t="s">
        <v>319</v>
      </c>
      <c r="AR3" s="300" t="s">
        <v>320</v>
      </c>
      <c r="AS3" s="306" t="s">
        <v>321</v>
      </c>
      <c r="AT3" s="292" t="s">
        <v>284</v>
      </c>
      <c r="AU3" s="305" t="s">
        <v>322</v>
      </c>
      <c r="AV3" s="307" t="s">
        <v>323</v>
      </c>
      <c r="AW3" s="282" t="s">
        <v>324</v>
      </c>
      <c r="AX3" s="308" t="s">
        <v>325</v>
      </c>
      <c r="AY3" s="309" t="s">
        <v>326</v>
      </c>
      <c r="AZ3" s="309" t="s">
        <v>327</v>
      </c>
      <c r="BA3" s="309" t="s">
        <v>328</v>
      </c>
      <c r="BB3" s="307" t="s">
        <v>329</v>
      </c>
      <c r="BC3" s="282" t="s">
        <v>330</v>
      </c>
      <c r="BD3" s="308" t="s">
        <v>331</v>
      </c>
      <c r="BE3" s="309" t="s">
        <v>332</v>
      </c>
      <c r="BF3" s="309" t="s">
        <v>333</v>
      </c>
      <c r="BG3" s="310" t="s">
        <v>329</v>
      </c>
      <c r="BH3" s="584" t="s">
        <v>334</v>
      </c>
      <c r="BI3" s="579" t="s">
        <v>284</v>
      </c>
      <c r="BJ3" s="294" t="s">
        <v>453</v>
      </c>
      <c r="BK3" s="274" t="s">
        <v>368</v>
      </c>
      <c r="BL3" s="294" t="s">
        <v>335</v>
      </c>
      <c r="BM3" s="312" t="s">
        <v>336</v>
      </c>
      <c r="BN3" s="313" t="s">
        <v>337</v>
      </c>
      <c r="BO3" s="276" t="s">
        <v>369</v>
      </c>
      <c r="BP3" s="314" t="s">
        <v>338</v>
      </c>
      <c r="BQ3" s="276" t="s">
        <v>370</v>
      </c>
      <c r="BR3" s="314" t="s">
        <v>339</v>
      </c>
      <c r="BS3" s="276" t="s">
        <v>371</v>
      </c>
      <c r="BT3" s="314" t="s">
        <v>340</v>
      </c>
      <c r="BU3" s="315" t="s">
        <v>341</v>
      </c>
      <c r="BV3" s="316" t="s">
        <v>342</v>
      </c>
      <c r="BW3" s="317" t="s">
        <v>343</v>
      </c>
      <c r="BX3" s="317" t="s">
        <v>344</v>
      </c>
      <c r="BY3" s="317" t="s">
        <v>345</v>
      </c>
      <c r="BZ3" s="318" t="s">
        <v>346</v>
      </c>
      <c r="CA3" s="315" t="s">
        <v>347</v>
      </c>
      <c r="CB3" s="311" t="s">
        <v>348</v>
      </c>
      <c r="CC3" s="319" t="s">
        <v>349</v>
      </c>
      <c r="CD3" s="314" t="s">
        <v>350</v>
      </c>
      <c r="CE3" s="315" t="s">
        <v>351</v>
      </c>
      <c r="CF3" s="316" t="s">
        <v>352</v>
      </c>
      <c r="CG3" s="317" t="s">
        <v>353</v>
      </c>
      <c r="CH3" s="317" t="s">
        <v>354</v>
      </c>
      <c r="CI3" s="318" t="s">
        <v>355</v>
      </c>
      <c r="CJ3" s="320" t="s">
        <v>284</v>
      </c>
      <c r="CK3" s="321" t="s">
        <v>356</v>
      </c>
      <c r="CL3" s="322" t="s">
        <v>357</v>
      </c>
      <c r="CM3" s="323" t="s">
        <v>284</v>
      </c>
      <c r="CN3" s="321" t="s">
        <v>358</v>
      </c>
      <c r="CO3" s="589" t="s">
        <v>359</v>
      </c>
      <c r="CP3" s="324" t="s">
        <v>360</v>
      </c>
      <c r="CQ3" s="325" t="s">
        <v>284</v>
      </c>
      <c r="CR3" s="326" t="s">
        <v>361</v>
      </c>
      <c r="CS3" s="289" t="s">
        <v>362</v>
      </c>
      <c r="CT3" s="290" t="s">
        <v>284</v>
      </c>
      <c r="CU3" s="326" t="s">
        <v>363</v>
      </c>
      <c r="CV3" s="289" t="s">
        <v>373</v>
      </c>
      <c r="CW3" s="290" t="s">
        <v>284</v>
      </c>
      <c r="CX3" s="326" t="s">
        <v>364</v>
      </c>
      <c r="CY3" s="289" t="s">
        <v>365</v>
      </c>
    </row>
    <row r="4" spans="1:104" ht="207.75" customHeight="1" x14ac:dyDescent="0.3">
      <c r="A4" s="241" t="str">
        <f>IF(Assets!A2="", "", Assets!A2)</f>
        <v/>
      </c>
      <c r="B4" s="141" t="str">
        <f>IF(Assets!C2="", "", Assets!C2)</f>
        <v/>
      </c>
      <c r="C4" s="213"/>
      <c r="D4" s="330" t="str" cm="1">
        <f t="array" ref="D4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AND(Assets!E2="Sensitive", EInfo_ACM[[#This Row],[Type]]="Security", Assets!D2="Parameter"), "E.Info.DLM-1.SenSecParam"), ""), ""),
          IF(EInfo_ACM[[#This Row],[Type]]="Privacy", "E.Info.UNM-1.PersonalInformation", ""),
          "E.Info.GEC-1."&amp;EInfo_ACM[[#This Row],[Type]]&amp;"Asset"
),""), "")</f>
        <v/>
      </c>
      <c r="E4" s="56" t="str">
        <f>IF(Assets!B2="", "", Assets!B2)</f>
        <v/>
      </c>
      <c r="F4" s="186" t="str">
        <f>IF(EInfo_ACM[[#This Row],[Type]]&lt;&gt;"", _xlfn.TEXTJOIN(", "&amp;CHAR(10), TRUE, "E.Info.ACM-1."&amp;EInfo_ACM[[#This Row],[Type]]&amp;"Asset.Access"), "")</f>
        <v/>
      </c>
      <c r="G4" s="192" t="str">
        <f>IF(EInfo_ACM[[#This Row],[Assets]]&lt;&gt;"", IF(Assets!G2&lt;&gt;"", Assets!G2, "Please complete the Mapping_Asset_Entities tab"), "")</f>
        <v/>
      </c>
      <c r="H4" s="330" t="str" cm="1">
        <f t="array" ref="H4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4" s="338"/>
      <c r="J4" s="119"/>
      <c r="K4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4" s="86"/>
      <c r="M4" s="211"/>
      <c r="N4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4" s="86"/>
      <c r="P4" s="342"/>
      <c r="Q4" s="110"/>
      <c r="R4" s="171"/>
      <c r="S4" s="214"/>
      <c r="T4" s="215"/>
      <c r="U4" s="216"/>
      <c r="V4" s="216"/>
      <c r="W4" s="343" t="str" cm="1">
        <f t="array" ref="W4">IFERROR(IF($Y4&lt;&gt;"",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TRUE)&amp;".ACM."&amp;_xlfn.TEXTSPLIT(Assets!N2, ", "&amp;CHAR(10))&amp;"Interface"), "N/A"), ""), "N/A")</f>
        <v/>
      </c>
      <c r="X4" s="217" t="str">
        <f>IF(EInfo_ACM[[#This Row],[Assets]]&lt;&gt;"", IF(Assets!F2&lt;&gt;"", Assets!F2, "Please complete the Mapping_Asset_Interfaces tab"), "")</f>
        <v/>
      </c>
      <c r="Y4" s="218" t="str">
        <f>Assets!N2</f>
        <v/>
      </c>
      <c r="Z4" s="346"/>
      <c r="AA4" s="328" t="str" cm="1">
        <f t="array" ref="AA4">IFERROR(IF($Y4&lt;&gt;"",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4" s="219"/>
      <c r="AC4" s="171"/>
      <c r="AD4" s="203"/>
      <c r="AE4" s="203"/>
      <c r="AF4" s="330" t="str">
        <f>IFERROR(IF($A4&lt;&gt;"",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4" s="351"/>
      <c r="AH4" s="186" t="str">
        <f>IFERROR(IF($A4&lt;&gt;"",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4" s="351"/>
      <c r="AJ4" s="171"/>
      <c r="AK4" s="330" t="str">
        <f>IFERROR(IF($A4&lt;&gt;"",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4" s="351"/>
      <c r="AM4" s="108"/>
      <c r="AN4" s="109"/>
      <c r="AO4" s="330" t="str">
        <f>IFERROR(IF($A4&lt;&gt;"",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4" s="86"/>
      <c r="AQ4" s="328" t="str">
        <f>IFERROR(IF($A4&lt;&gt;"",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4" s="86"/>
      <c r="AS4" s="202" t="str">
        <f>IF($A4&lt;&gt;"",
IF(Assets!H2&lt;&gt;"",Assets!H2,"Please complete the SSM column in the Asset sheet"),"")</f>
        <v/>
      </c>
      <c r="AT4" s="203"/>
      <c r="AU4" s="330" t="str">
        <f>IFERROR(IF(AND($A4&lt;&gt;"", EInfo_ACM[[#This Row],[Type]]&lt;&gt;""),
  IF(VALUE(RIGHT(EInfo_ACM[[#This Row],[E.Info.DT.SSM-1]]))=2,
_xlfn.TEXTJOIN(", "&amp;CHAR(10), TRUE, "E.Info.SSM-1."&amp;EInfo_ACM[[#This Row],[Type]]&amp;"Asset.SSM",
IF(EInfo_ACM[[#This Row],[SSM.DigitalSignature, SSM.AccessControl, SSM.OTProgrammable, SSM.HardwareProtection, SSM.Generic]]&lt;&gt;"N/A", "E.Info.SSM-2.SSM", ""),
IF(EInfo_ACM[[#This Row],[SSM.Encryption, SSM.AccessControl, SSM.HardwareProtection, SSM.Generic]]&lt;&gt;"N/A", "E.Info.SSM-3.SSM", "")), "N/A"), ""), "N/A")</f>
        <v/>
      </c>
      <c r="AV4" s="86"/>
      <c r="AW4" s="356" t="str" cm="1">
        <f t="array" ref="AW4">IFERROR(IF(AND($A4&lt;&gt;"",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4" s="93"/>
      <c r="AY4" s="94"/>
      <c r="AZ4" s="94"/>
      <c r="BA4" s="94"/>
      <c r="BB4" s="358"/>
      <c r="BC4" s="356" t="str" cm="1">
        <f t="array" ref="BC4">IFERROR(IF(AND($A4&lt;&gt;"",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4" s="93"/>
      <c r="BE4" s="94"/>
      <c r="BF4" s="94"/>
      <c r="BG4" s="123"/>
      <c r="BH4" s="585" t="str">
        <f>IF($A4&lt;&gt;"",
IF(Assets!I2&lt;&gt;"",Assets!I2,"Please complete the SCM column in the Asset sheet"),"")</f>
        <v/>
      </c>
      <c r="BI4" s="580"/>
      <c r="BJ4" s="386" t="str">
        <f>IFERROR(IF(AND($A4&lt;&gt;"",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4" s="330" t="str" cm="1">
        <f t="array" ref="BK4">IF($A4&lt;&gt;"",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4" s="204" t="str">
        <f>Assets!P2</f>
        <v/>
      </c>
      <c r="BM4" s="205" t="str">
        <f>Assets!Q2</f>
        <v/>
      </c>
      <c r="BN4" s="206"/>
      <c r="BO4" s="389" t="str">
        <f>IF($A4&lt;&gt;"",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4" s="86"/>
      <c r="BQ4" s="389" t="str">
        <f>IFERROR(IF($A4&lt;&gt;"",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4" s="86"/>
      <c r="BS4" s="389" t="str">
        <f>IF($A4&lt;&gt;"",
   IF(EInfo_ACM[[#This Row],[List of network interfaces]]&lt;&gt;"",
   _xlfn.TEXTJOIN(", "&amp;CHAR(10),TRUE, "E.Info.SCM-1.SCM.States", "E.Info.SCM-1.SCM.SecObjectives"), ""), "")</f>
        <v/>
      </c>
      <c r="BT4" s="86"/>
      <c r="BU4" s="391" t="str">
        <f>IFERROR(IF(AND($A4&lt;&gt;"",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4" s="93"/>
      <c r="BW4" s="94"/>
      <c r="BX4" s="94"/>
      <c r="BY4" s="94"/>
      <c r="BZ4" s="358"/>
      <c r="CA4" s="391" t="str">
        <f>IFERROR(IF(AND($A4&lt;&gt;"",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4" s="93"/>
      <c r="CC4" s="94"/>
      <c r="CD4" s="358"/>
      <c r="CE4" s="130" t="str">
        <f>IFERROR(IF(AND($A4&lt;&gt;"",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4" s="93"/>
      <c r="CG4" s="94"/>
      <c r="CH4" s="94"/>
      <c r="CI4" s="358"/>
      <c r="CJ4" s="399"/>
      <c r="CK4" s="393" t="str" cm="1">
        <f t="array" ref="CK4">IFERROR(IF($A4&lt;&gt;"",
     _xlfn.IFS(EInfo_ACM[[#This Row],[E.Info.DT.DLM-1]]="N/A", "N/A", AND(VALUE(RIGHT(EInfo_ACM[[#This Row],[E.Info.DT.DLM-1]]))=1, OR(EInfo_ACM[[#This Row],[Type]]="Privacy", AND(Assets!E2="Sensitive", EInfo_ACM[[#This Row],[Type]]="Security", Assets!D2="Parameter"))), "E.Info.DLM-1.DLM"), ""), "")</f>
        <v/>
      </c>
      <c r="CL4" s="396"/>
      <c r="CM4" s="119"/>
      <c r="CN4" s="220" t="str">
        <f>IFERROR(IF($A4&lt;&gt;"",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4" s="221"/>
      <c r="CP4" s="110" t="str">
        <f>IF($A4&lt;&gt;"",
IF(Assets!J2&lt;&gt;"",Assets!J2,"Please complete the CCK column in the Asset sheet"),"")</f>
        <v/>
      </c>
      <c r="CQ4" s="222"/>
      <c r="CR4" s="404" t="str">
        <f>IFERROR(IF($A4&lt;&gt;"",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4" s="86"/>
      <c r="CT4" s="211"/>
      <c r="CU4" s="404" t="str">
        <f>IFERROR(IF($A4&lt;&gt;"",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4" s="86"/>
      <c r="CW4" s="211"/>
      <c r="CX4" s="330" t="str">
        <f>IFERROR(IF($A4&lt;&gt;"",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4" s="86"/>
      <c r="CZ4" s="14"/>
    </row>
    <row r="5" spans="1:104" ht="149.25" customHeight="1" x14ac:dyDescent="0.3">
      <c r="A5" s="241" t="str">
        <f>IF(Assets!A3="", "", Assets!A3)</f>
        <v/>
      </c>
      <c r="B5" s="141" t="str">
        <f>IF(Assets!C3="", "", Assets!C3)</f>
        <v/>
      </c>
      <c r="C5" s="191"/>
      <c r="D5" s="330" t="str" cm="1">
        <f t="array" ref="D5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AND(Assets!E3="Sensitive", EInfo_ACM[[#This Row],[Type]]="Security", Assets!D3="Parameter"), "E.Info.DLM-1.SenSecParam"), ""), ""),
          IF(EInfo_ACM[[#This Row],[Type]]="Privacy", "E.Info.UNM-1.PersonalInformation", ""),
          "E.Info.GEC-1."&amp;EInfo_ACM[[#This Row],[Type]]&amp;"Asset"
),""), "")</f>
        <v/>
      </c>
      <c r="E5" s="89" t="str">
        <f>IF(Assets!B3="", "", Assets!B3)</f>
        <v/>
      </c>
      <c r="F5" s="186" t="str">
        <f>IF(EInfo_ACM[[#This Row],[Type]]&lt;&gt;"", _xlfn.TEXTJOIN(", "&amp;CHAR(10), TRUE, "E.Info.ACM-1."&amp;EInfo_ACM[[#This Row],[Type]]&amp;"Asset.Access"), "")</f>
        <v/>
      </c>
      <c r="G5" s="192" t="str">
        <f>IF(EInfo_ACM[[#This Row],[Assets]]&lt;&gt;"", IF(Assets!G3&lt;&gt;"", Assets!G3, "Please complete the Mapping_Asset_Entities tab"), "")</f>
        <v/>
      </c>
      <c r="H5" s="330" t="str" cm="1">
        <f t="array" ref="H5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5" s="52"/>
      <c r="J5" s="120"/>
      <c r="K5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5" s="87"/>
      <c r="M5" s="210"/>
      <c r="N5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5" s="87"/>
      <c r="P5" s="342"/>
      <c r="Q5" s="115"/>
      <c r="R5" s="171"/>
      <c r="S5" s="111"/>
      <c r="T5" s="112"/>
      <c r="U5" s="113"/>
      <c r="V5" s="199"/>
      <c r="W5" s="344" t="str" cm="1">
        <f t="array" ref="W5">IFERROR(IF($Y5&lt;&gt;"",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TRUE)&amp;".ACM."&amp;_xlfn.TEXTSPLIT(Assets!N3, ", "&amp;CHAR(10))&amp;"Interface"), "N/A"), ""), "N/A")</f>
        <v/>
      </c>
      <c r="X5" s="200" t="str">
        <f>IF(EInfo_ACM[[#This Row],[Assets]]&lt;&gt;"", IF(Assets!F3&lt;&gt;"", Assets!F3, "Please complete the Mapping_Asset_Interfaces tab"), "")</f>
        <v/>
      </c>
      <c r="Y5" s="91" t="str">
        <f>Assets!N3</f>
        <v/>
      </c>
      <c r="Z5" s="347"/>
      <c r="AA5" s="349" t="str" cm="1">
        <f t="array" ref="AA5">IFERROR(IF($Y5&lt;&gt;"",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5" s="201"/>
      <c r="AC5" s="105"/>
      <c r="AD5" s="106"/>
      <c r="AE5" s="106"/>
      <c r="AF5" s="354" t="str">
        <f>IFERROR(IF($A5&lt;&gt;"",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5" s="352"/>
      <c r="AH5" s="133" t="str">
        <f>IFERROR(IF($A5&lt;&gt;"",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5" s="352"/>
      <c r="AJ5" s="105"/>
      <c r="AK5" s="354" t="str">
        <f>IFERROR(IF($A5&lt;&gt;"",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5" s="352"/>
      <c r="AM5" s="114"/>
      <c r="AN5" s="107"/>
      <c r="AO5" s="354" t="str">
        <f>IFERROR(IF($A5&lt;&gt;"",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5" s="86"/>
      <c r="AQ5" s="349" t="str">
        <f>IFERROR(IF($A5&lt;&gt;"",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5" s="103"/>
      <c r="AS5" s="202" t="str">
        <f>IF($A5&lt;&gt;"",
IF(Assets!H3&lt;&gt;"",Assets!H3,"Please complete the SSM column in the Asset sheet"),"")</f>
        <v/>
      </c>
      <c r="AT5" s="106"/>
      <c r="AU5" s="354" t="str">
        <f>IFERROR(IF(AND($A5&lt;&gt;"",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5" s="103"/>
      <c r="AW5" s="356" t="str" cm="1">
        <f t="array" ref="AW5">IFERROR(IF(AND($A5&lt;&gt;"",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5" s="93"/>
      <c r="AY5" s="94"/>
      <c r="AZ5" s="94"/>
      <c r="BA5" s="94"/>
      <c r="BB5" s="358"/>
      <c r="BC5" s="356" t="str" cm="1">
        <f t="array" ref="BC5">IFERROR(IF(AND($A5&lt;&gt;"",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5" s="93"/>
      <c r="BE5" s="94"/>
      <c r="BF5" s="94"/>
      <c r="BG5" s="123"/>
      <c r="BH5" s="585" t="str">
        <f>IF($A5&lt;&gt;"",
IF(Assets!I3&lt;&gt;"",Assets!I3,"Please complete the SCM column in the Asset sheet"),"")</f>
        <v/>
      </c>
      <c r="BI5" s="581"/>
      <c r="BJ5" s="387" t="str">
        <f>IFERROR(IF(AND($A5&lt;&gt;"",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5" s="330" t="str" cm="1">
        <f t="array" ref="BK5">IF($A5&lt;&gt;"",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5" s="204" t="str">
        <f>Assets!P3</f>
        <v/>
      </c>
      <c r="BM5" s="205" t="str">
        <f>Assets!Q3</f>
        <v/>
      </c>
      <c r="BN5" s="207"/>
      <c r="BO5" s="389" t="str">
        <f>IF($A5&lt;&gt;"",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5" s="116"/>
      <c r="BQ5" s="389" t="str">
        <f>IFERROR(IF($A5&lt;&gt;"",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5" s="116"/>
      <c r="BS5" s="389" t="str">
        <f>IF($A5&lt;&gt;"",
   IF(EInfo_ACM[[#This Row],[List of network interfaces]]&lt;&gt;"",
   _xlfn.TEXTJOIN(", "&amp;CHAR(10),TRUE, "E.Info.SCM-1.SCM.States", "E.Info.SCM-1.SCM.SecObjectives"), ""), "")</f>
        <v/>
      </c>
      <c r="BT5" s="116"/>
      <c r="BU5" s="391" t="str">
        <f>IFERROR(IF(AND($A5&lt;&gt;"",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5" s="93"/>
      <c r="BW5" s="94"/>
      <c r="BX5" s="94"/>
      <c r="BY5" s="94"/>
      <c r="BZ5" s="358"/>
      <c r="CA5" s="391" t="str">
        <f>IFERROR(IF(AND($A5&lt;&gt;"",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5" s="93"/>
      <c r="CC5" s="94"/>
      <c r="CD5" s="358"/>
      <c r="CE5" s="130" t="str">
        <f>IFERROR(IF(AND($A5&lt;&gt;"",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5" s="93"/>
      <c r="CG5" s="94"/>
      <c r="CH5" s="94"/>
      <c r="CI5" s="358"/>
      <c r="CJ5" s="400"/>
      <c r="CK5" s="394" t="str" cm="1">
        <f t="array" ref="CK5">IFERROR(IF($A5&lt;&gt;"",
     _xlfn.IFS(EInfo_ACM[[#This Row],[E.Info.DT.DLM-1]]="N/A", "N/A", AND(VALUE(RIGHT(EInfo_ACM[[#This Row],[E.Info.DT.DLM-1]]))=1, OR(EInfo_ACM[[#This Row],[Type]]="Privacy", AND(Assets!E3="Sensitive", EInfo_ACM[[#This Row],[Type]]="Security", Assets!D3="Parameter"))), "E.Info.DLM-1.DLM"), ""), "")</f>
        <v/>
      </c>
      <c r="CL5" s="397"/>
      <c r="CM5" s="403"/>
      <c r="CN5" s="142" t="str">
        <f>IFERROR(IF($A5&lt;&gt;"",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5" s="143"/>
      <c r="CP5" s="110" t="str">
        <f>IF($A5&lt;&gt;"",
IF(Assets!J3&lt;&gt;"",Assets!J3,"Please complete the CCK column in the Asset sheet"),"")</f>
        <v/>
      </c>
      <c r="CQ5" s="209"/>
      <c r="CR5" s="404" t="str">
        <f>IFERROR(IF($A5&lt;&gt;"",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5" s="86"/>
      <c r="CT5" s="210"/>
      <c r="CU5" s="404" t="str">
        <f>IFERROR(IF($A5&lt;&gt;"",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5" s="86"/>
      <c r="CW5" s="210"/>
      <c r="CX5" s="330" t="str">
        <f>IFERROR(IF($A5&lt;&gt;"",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5" s="86"/>
      <c r="CZ5" s="14"/>
    </row>
    <row r="6" spans="1:104" ht="105" customHeight="1" x14ac:dyDescent="0.3">
      <c r="A6" s="241" t="str">
        <f>IF(Assets!A4="", "", Assets!A4)</f>
        <v/>
      </c>
      <c r="B6" s="141" t="str">
        <f>IF(Assets!C4="", "", Assets!C4)</f>
        <v/>
      </c>
      <c r="C6" s="191"/>
      <c r="D6" s="330" t="str" cm="1">
        <f t="array" ref="D6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AND(Assets!E4="Sensitive", EInfo_ACM[[#This Row],[Type]]="Security", Assets!D4="Parameter"), "E.Info.DLM-1.SenSecParam"), ""), ""),
          IF(EInfo_ACM[[#This Row],[Type]]="Privacy", "E.Info.UNM-1.PersonalInformation", ""),
          "E.Info.GEC-1."&amp;EInfo_ACM[[#This Row],[Type]]&amp;"Asset"
),""), "")</f>
        <v/>
      </c>
      <c r="E6" s="89" t="str">
        <f>IF(Assets!B4="", "", Assets!B4)</f>
        <v/>
      </c>
      <c r="F6" s="186" t="str">
        <f>IF(EInfo_ACM[[#This Row],[Type]]&lt;&gt;"", _xlfn.TEXTJOIN(", "&amp;CHAR(10), TRUE, "E.Info.ACM-1."&amp;EInfo_ACM[[#This Row],[Type]]&amp;"Asset.Access"), "")</f>
        <v/>
      </c>
      <c r="G6" s="192" t="str">
        <f>IF(EInfo_ACM[[#This Row],[Assets]]&lt;&gt;"", IF(Assets!G4&lt;&gt;"", Assets!G4, "Please complete the Mapping_Asset_Entities tab"), "")</f>
        <v/>
      </c>
      <c r="H6" s="330" t="str" cm="1">
        <f t="array" ref="H6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6" s="52"/>
      <c r="J6" s="120"/>
      <c r="K6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6" s="87"/>
      <c r="M6" s="210"/>
      <c r="N6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6" s="87"/>
      <c r="P6" s="342"/>
      <c r="Q6" s="115"/>
      <c r="R6" s="171"/>
      <c r="S6" s="111"/>
      <c r="T6" s="112"/>
      <c r="U6" s="113"/>
      <c r="V6" s="199"/>
      <c r="W6" s="344" t="str" cm="1">
        <f t="array" ref="W6">IFERROR(IF($Y6&lt;&gt;"",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TRUE)&amp;".ACM."&amp;_xlfn.TEXTSPLIT(Assets!N4, ", "&amp;CHAR(10))&amp;"Interface"), "N/A"), ""), "N/A")</f>
        <v/>
      </c>
      <c r="X6" s="200" t="str">
        <f>IF(EInfo_ACM[[#This Row],[Assets]]&lt;&gt;"", IF(Assets!F4&lt;&gt;"", Assets!F4, "Please complete the Mapping_Asset_Interfaces tab"), "")</f>
        <v/>
      </c>
      <c r="Y6" s="91" t="str">
        <f>Assets!N4</f>
        <v/>
      </c>
      <c r="Z6" s="347"/>
      <c r="AA6" s="349" t="str" cm="1">
        <f t="array" ref="AA6">IFERROR(IF($Y6&lt;&gt;"",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6" s="201"/>
      <c r="AC6" s="105"/>
      <c r="AD6" s="106"/>
      <c r="AE6" s="106"/>
      <c r="AF6" s="354" t="str">
        <f>IFERROR(IF($A6&lt;&gt;"",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6" s="352"/>
      <c r="AH6" s="133" t="str">
        <f>IFERROR(IF($A6&lt;&gt;"",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6" s="352"/>
      <c r="AJ6" s="105"/>
      <c r="AK6" s="354" t="str">
        <f>IFERROR(IF($A6&lt;&gt;"",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6" s="352"/>
      <c r="AM6" s="114"/>
      <c r="AN6" s="107"/>
      <c r="AO6" s="354" t="str">
        <f>IFERROR(IF($A6&lt;&gt;"",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6" s="86"/>
      <c r="AQ6" s="349" t="str">
        <f>IFERROR(IF($A6&lt;&gt;"",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6" s="103"/>
      <c r="AS6" s="202" t="str">
        <f>IF($A6&lt;&gt;"",
IF(Assets!H4&lt;&gt;"",Assets!H4,"Please complete the SSM column in the Asset sheet"),"")</f>
        <v/>
      </c>
      <c r="AT6" s="106"/>
      <c r="AU6" s="354" t="str">
        <f>IFERROR(IF(AND($A6&lt;&gt;"",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6" s="103"/>
      <c r="AW6" s="356" t="str" cm="1">
        <f t="array" ref="AW6">IFERROR(IF(AND($A6&lt;&gt;"",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6" s="93"/>
      <c r="AY6" s="94"/>
      <c r="AZ6" s="94"/>
      <c r="BA6" s="94"/>
      <c r="BB6" s="358"/>
      <c r="BC6" s="356" t="str" cm="1">
        <f t="array" ref="BC6">IFERROR(IF(AND($A6&lt;&gt;"",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6" s="93"/>
      <c r="BE6" s="94"/>
      <c r="BF6" s="94"/>
      <c r="BG6" s="123"/>
      <c r="BH6" s="585" t="str">
        <f>IF($A6&lt;&gt;"",
IF(Assets!I4&lt;&gt;"",Assets!I4,"Please complete the SCM column in the Asset sheet"),"")</f>
        <v/>
      </c>
      <c r="BI6" s="581"/>
      <c r="BJ6" s="387" t="str">
        <f>IFERROR(IF(AND($A6&lt;&gt;"",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6" s="330" t="str" cm="1">
        <f t="array" ref="BK6">IF($A6&lt;&gt;"",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6" s="204" t="str">
        <f>Assets!P4</f>
        <v/>
      </c>
      <c r="BM6" s="205" t="str">
        <f>Assets!Q4</f>
        <v/>
      </c>
      <c r="BN6" s="207"/>
      <c r="BO6" s="389" t="str">
        <f>IF($A6&lt;&gt;"",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6" s="116"/>
      <c r="BQ6" s="389" t="str">
        <f>IFERROR(IF($A6&lt;&gt;"",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6" s="116"/>
      <c r="BS6" s="389" t="str">
        <f>IF($A6&lt;&gt;"",
   IF(EInfo_ACM[[#This Row],[List of network interfaces]]&lt;&gt;"",
   _xlfn.TEXTJOIN(", "&amp;CHAR(10),TRUE, "E.Info.SCM-1.SCM.States", "E.Info.SCM-1.SCM.SecObjectives"), ""), "")</f>
        <v/>
      </c>
      <c r="BT6" s="116"/>
      <c r="BU6" s="391" t="str">
        <f>IFERROR(IF(AND($A6&lt;&gt;"",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6" s="93"/>
      <c r="BW6" s="94"/>
      <c r="BX6" s="94"/>
      <c r="BY6" s="94"/>
      <c r="BZ6" s="358"/>
      <c r="CA6" s="391" t="str">
        <f>IFERROR(IF(AND($A6&lt;&gt;"",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6" s="93"/>
      <c r="CC6" s="94"/>
      <c r="CD6" s="358"/>
      <c r="CE6" s="130" t="str">
        <f>IFERROR(IF(AND($A6&lt;&gt;"",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6" s="93"/>
      <c r="CG6" s="94"/>
      <c r="CH6" s="94"/>
      <c r="CI6" s="358"/>
      <c r="CJ6" s="400"/>
      <c r="CK6" s="394" t="str" cm="1">
        <f t="array" ref="CK6">IFERROR(IF($A6&lt;&gt;"",
     _xlfn.IFS(EInfo_ACM[[#This Row],[E.Info.DT.DLM-1]]="N/A", "N/A", AND(VALUE(RIGHT(EInfo_ACM[[#This Row],[E.Info.DT.DLM-1]]))=1, OR(EInfo_ACM[[#This Row],[Type]]="Privacy", AND(Assets!E4="Sensitive", EInfo_ACM[[#This Row],[Type]]="Security", Assets!D4="Parameter"))), "E.Info.DLM-1.DLM"), ""), "")</f>
        <v/>
      </c>
      <c r="CL6" s="397"/>
      <c r="CM6" s="403"/>
      <c r="CN6" s="142" t="str">
        <f>IFERROR(IF($A6&lt;&gt;"",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6" s="143"/>
      <c r="CP6" s="110" t="str">
        <f>IF($A6&lt;&gt;"",
IF(Assets!J4&lt;&gt;"",Assets!J4,"Please complete the CCK column in the Asset sheet"),"")</f>
        <v/>
      </c>
      <c r="CQ6" s="209"/>
      <c r="CR6" s="404" t="str">
        <f>IFERROR(IF($A6&lt;&gt;"",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6" s="86"/>
      <c r="CT6" s="210"/>
      <c r="CU6" s="404" t="str">
        <f>IFERROR(IF($A6&lt;&gt;"",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6" s="86"/>
      <c r="CW6" s="210"/>
      <c r="CX6" s="330" t="str">
        <f>IFERROR(IF($A6&lt;&gt;"",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6" s="86"/>
      <c r="CZ6" s="14"/>
    </row>
    <row r="7" spans="1:104" ht="69.75" customHeight="1" x14ac:dyDescent="0.3">
      <c r="A7" s="241" t="str">
        <f>IF(Assets!A5="", "", Assets!A5)</f>
        <v/>
      </c>
      <c r="B7" s="141" t="str">
        <f>IF(Assets!C5="", "", Assets!C5)</f>
        <v/>
      </c>
      <c r="C7" s="191"/>
      <c r="D7" s="330" t="str" cm="1">
        <f t="array" ref="D7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AND(Assets!E5="Sensitive", EInfo_ACM[[#This Row],[Type]]="Security", Assets!D5="Parameter"), "E.Info.DLM-1.SenSecParam"), ""), ""),
          IF(EInfo_ACM[[#This Row],[Type]]="Privacy", "E.Info.UNM-1.PersonalInformation", ""),
          "E.Info.GEC-1."&amp;EInfo_ACM[[#This Row],[Type]]&amp;"Asset"
),""), "")</f>
        <v/>
      </c>
      <c r="E7" s="89" t="str">
        <f>IF(Assets!B5="", "", Assets!B5)</f>
        <v/>
      </c>
      <c r="F7" s="186" t="str">
        <f>IF(EInfo_ACM[[#This Row],[Type]]&lt;&gt;"", _xlfn.TEXTJOIN(", "&amp;CHAR(10), TRUE, "E.Info.ACM-1."&amp;EInfo_ACM[[#This Row],[Type]]&amp;"Asset.Access"), "")</f>
        <v/>
      </c>
      <c r="G7" s="192" t="str">
        <f>IF(EInfo_ACM[[#This Row],[Assets]]&lt;&gt;"", IF(Assets!G5&lt;&gt;"", Assets!G5, "Please complete the Mapping_Asset_Entities tab"), "")</f>
        <v/>
      </c>
      <c r="H7" s="330" t="str" cm="1">
        <f t="array" ref="H7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7" s="52"/>
      <c r="J7" s="120"/>
      <c r="K7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7" s="87"/>
      <c r="M7" s="210"/>
      <c r="N7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7" s="87"/>
      <c r="P7" s="342"/>
      <c r="Q7" s="115"/>
      <c r="R7" s="171"/>
      <c r="S7" s="111"/>
      <c r="T7" s="112"/>
      <c r="U7" s="113"/>
      <c r="V7" s="199"/>
      <c r="W7" s="344" t="str" cm="1">
        <f t="array" ref="W7">IFERROR(IF($Y7&lt;&gt;"",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TRUE)&amp;".ACM."&amp;_xlfn.TEXTSPLIT(Assets!N5, ", "&amp;CHAR(10))&amp;"Interface"), "N/A"), ""), "N/A")</f>
        <v/>
      </c>
      <c r="X7" s="200" t="str">
        <f>IF(EInfo_ACM[[#This Row],[Assets]]&lt;&gt;"", IF(Assets!F5&lt;&gt;"", Assets!F5, "Please complete the Mapping_Asset_Interfaces tab"), "")</f>
        <v/>
      </c>
      <c r="Y7" s="91" t="str">
        <f>Assets!N5</f>
        <v/>
      </c>
      <c r="Z7" s="347"/>
      <c r="AA7" s="349" t="str" cm="1">
        <f t="array" ref="AA7">IFERROR(IF($Y7&lt;&gt;"",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7" s="201"/>
      <c r="AC7" s="105"/>
      <c r="AD7" s="106"/>
      <c r="AE7" s="106"/>
      <c r="AF7" s="354" t="str">
        <f>IFERROR(IF($A7&lt;&gt;"",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7" s="352"/>
      <c r="AH7" s="133" t="str">
        <f>IFERROR(IF($A7&lt;&gt;"",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7" s="352"/>
      <c r="AJ7" s="105"/>
      <c r="AK7" s="354" t="str">
        <f>IFERROR(IF($A7&lt;&gt;"",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7" s="352"/>
      <c r="AM7" s="114"/>
      <c r="AN7" s="107"/>
      <c r="AO7" s="354" t="str">
        <f>IFERROR(IF($A7&lt;&gt;"",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7" s="86"/>
      <c r="AQ7" s="349" t="str">
        <f>IFERROR(IF($A7&lt;&gt;"",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7" s="103"/>
      <c r="AS7" s="202" t="str">
        <f>IF($A7&lt;&gt;"",
IF(Assets!H5&lt;&gt;"",Assets!H5,"Please complete the SSM column in the Asset sheet"),"")</f>
        <v/>
      </c>
      <c r="AT7" s="106"/>
      <c r="AU7" s="354" t="str">
        <f>IFERROR(IF(AND($A7&lt;&gt;"",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7" s="103"/>
      <c r="AW7" s="356" t="str" cm="1">
        <f t="array" ref="AW7">IFERROR(IF(AND($A7&lt;&gt;"",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7" s="93"/>
      <c r="AY7" s="94"/>
      <c r="AZ7" s="94"/>
      <c r="BA7" s="94"/>
      <c r="BB7" s="358"/>
      <c r="BC7" s="356" t="str" cm="1">
        <f t="array" ref="BC7">IFERROR(IF(AND($A7&lt;&gt;"",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7" s="93"/>
      <c r="BE7" s="94"/>
      <c r="BF7" s="94"/>
      <c r="BG7" s="123"/>
      <c r="BH7" s="585" t="str">
        <f>IF($A7&lt;&gt;"",
IF(Assets!I5&lt;&gt;"",Assets!I5,"Please complete the SCM column in the Asset sheet"),"")</f>
        <v/>
      </c>
      <c r="BI7" s="581"/>
      <c r="BJ7" s="387" t="str">
        <f>IFERROR(IF(AND($A7&lt;&gt;"",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7" s="330" t="str" cm="1">
        <f t="array" ref="BK7">IF($A7&lt;&gt;"",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7" s="204" t="str">
        <f>Assets!P5</f>
        <v/>
      </c>
      <c r="BM7" s="205" t="str">
        <f>Assets!Q5</f>
        <v/>
      </c>
      <c r="BN7" s="207"/>
      <c r="BO7" s="389" t="str">
        <f>IF($A7&lt;&gt;"",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7" s="116"/>
      <c r="BQ7" s="389" t="str">
        <f>IFERROR(IF($A7&lt;&gt;"",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7" s="116"/>
      <c r="BS7" s="389" t="str">
        <f>IF($A7&lt;&gt;"",
   IF(EInfo_ACM[[#This Row],[List of network interfaces]]&lt;&gt;"",
   _xlfn.TEXTJOIN(", "&amp;CHAR(10),TRUE, "E.Info.SCM-1.SCM.States", "E.Info.SCM-1.SCM.SecObjectives"), ""), "")</f>
        <v/>
      </c>
      <c r="BT7" s="116"/>
      <c r="BU7" s="391" t="str">
        <f>IFERROR(IF(AND($A7&lt;&gt;"",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7" s="93"/>
      <c r="BW7" s="94"/>
      <c r="BX7" s="94"/>
      <c r="BY7" s="94"/>
      <c r="BZ7" s="358"/>
      <c r="CA7" s="391" t="str">
        <f>IFERROR(IF(AND($A7&lt;&gt;"",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7" s="93"/>
      <c r="CC7" s="94"/>
      <c r="CD7" s="358"/>
      <c r="CE7" s="130" t="str">
        <f>IFERROR(IF(AND($A7&lt;&gt;"",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7" s="93"/>
      <c r="CG7" s="94"/>
      <c r="CH7" s="94"/>
      <c r="CI7" s="358"/>
      <c r="CJ7" s="400"/>
      <c r="CK7" s="394" t="str" cm="1">
        <f t="array" ref="CK7">IFERROR(IF($A7&lt;&gt;"",
     _xlfn.IFS(EInfo_ACM[[#This Row],[E.Info.DT.DLM-1]]="N/A", "N/A", AND(VALUE(RIGHT(EInfo_ACM[[#This Row],[E.Info.DT.DLM-1]]))=1, OR(EInfo_ACM[[#This Row],[Type]]="Privacy", AND(Assets!E5="Sensitive", EInfo_ACM[[#This Row],[Type]]="Security", Assets!D5="Parameter"))), "E.Info.DLM-1.DLM"), ""), "")</f>
        <v/>
      </c>
      <c r="CL7" s="397"/>
      <c r="CM7" s="403"/>
      <c r="CN7" s="142" t="str">
        <f>IFERROR(IF($A7&lt;&gt;"",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7" s="143"/>
      <c r="CP7" s="110" t="str">
        <f>IF($A7&lt;&gt;"",
IF(Assets!J5&lt;&gt;"",Assets!J5,"Please complete the CCK column in the Asset sheet"),"")</f>
        <v/>
      </c>
      <c r="CQ7" s="209"/>
      <c r="CR7" s="404" t="str">
        <f>IFERROR(IF($A7&lt;&gt;"",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7" s="86"/>
      <c r="CT7" s="210"/>
      <c r="CU7" s="404" t="str">
        <f>IFERROR(IF($A7&lt;&gt;"",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7" s="86"/>
      <c r="CW7" s="210"/>
      <c r="CX7" s="330" t="str">
        <f>IFERROR(IF($A7&lt;&gt;"",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7" s="86"/>
      <c r="CZ7" s="14"/>
    </row>
    <row r="8" spans="1:104" ht="69.75" customHeight="1" x14ac:dyDescent="0.3">
      <c r="A8" s="241" t="str">
        <f>IF(Assets!A6="", "", Assets!A6)</f>
        <v/>
      </c>
      <c r="B8" s="141" t="str">
        <f>IF(Assets!C6="", "", Assets!C6)</f>
        <v/>
      </c>
      <c r="C8" s="191"/>
      <c r="D8" s="330" t="str" cm="1">
        <f t="array" ref="D8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AND(Assets!E6="Sensitive", EInfo_ACM[[#This Row],[Type]]="Security", Assets!D6="Parameter"), "E.Info.DLM-1.SenSecParam"), ""), ""),
          IF(EInfo_ACM[[#This Row],[Type]]="Privacy", "E.Info.UNM-1.PersonalInformation", ""),
          "E.Info.GEC-1."&amp;EInfo_ACM[[#This Row],[Type]]&amp;"Asset"
),""), "")</f>
        <v/>
      </c>
      <c r="E8" s="89" t="str">
        <f>IF(Assets!B6="", "", Assets!B6)</f>
        <v/>
      </c>
      <c r="F8" s="186" t="str">
        <f>IF(EInfo_ACM[[#This Row],[Type]]&lt;&gt;"", _xlfn.TEXTJOIN(", "&amp;CHAR(10), TRUE, "E.Info.ACM-1."&amp;EInfo_ACM[[#This Row],[Type]]&amp;"Asset.Access"), "")</f>
        <v/>
      </c>
      <c r="G8" s="192" t="str">
        <f>IF(EInfo_ACM[[#This Row],[Assets]]&lt;&gt;"", IF(Assets!G6&lt;&gt;"", Assets!G6, "Please complete the Mapping_Asset_Entities tab"), "")</f>
        <v/>
      </c>
      <c r="H8" s="330" t="str" cm="1">
        <f t="array" ref="H8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8" s="52"/>
      <c r="J8" s="120"/>
      <c r="K8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8" s="87"/>
      <c r="M8" s="210"/>
      <c r="N8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8" s="87"/>
      <c r="P8" s="342"/>
      <c r="Q8" s="115"/>
      <c r="R8" s="171"/>
      <c r="S8" s="111"/>
      <c r="T8" s="112"/>
      <c r="U8" s="113"/>
      <c r="V8" s="199"/>
      <c r="W8" s="344" t="str" cm="1">
        <f t="array" ref="W8">IFERROR(IF($Y8&lt;&gt;"",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TRUE)&amp;".ACM."&amp;_xlfn.TEXTSPLIT(Assets!N6, ", "&amp;CHAR(10))&amp;"Interface"), "N/A"), ""), "N/A")</f>
        <v/>
      </c>
      <c r="X8" s="200" t="str">
        <f>IF(EInfo_ACM[[#This Row],[Assets]]&lt;&gt;"", IF(Assets!F6&lt;&gt;"", Assets!F6, "Please complete the Mapping_Asset_Interfaces tab"), "")</f>
        <v/>
      </c>
      <c r="Y8" s="91" t="str">
        <f>Assets!N6</f>
        <v/>
      </c>
      <c r="Z8" s="347"/>
      <c r="AA8" s="349" t="str" cm="1">
        <f t="array" ref="AA8">IFERROR(IF($Y8&lt;&gt;"",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8" s="201"/>
      <c r="AC8" s="105"/>
      <c r="AD8" s="106"/>
      <c r="AE8" s="106"/>
      <c r="AF8" s="354" t="str">
        <f>IFERROR(IF($A8&lt;&gt;"",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8" s="352"/>
      <c r="AH8" s="133" t="str">
        <f>IFERROR(IF($A8&lt;&gt;"",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8" s="352"/>
      <c r="AJ8" s="105"/>
      <c r="AK8" s="354" t="str">
        <f>IFERROR(IF($A8&lt;&gt;"",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8" s="352"/>
      <c r="AM8" s="114"/>
      <c r="AN8" s="107"/>
      <c r="AO8" s="354" t="str">
        <f>IFERROR(IF($A8&lt;&gt;"",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8" s="86"/>
      <c r="AQ8" s="349" t="str">
        <f>IFERROR(IF($A8&lt;&gt;"",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8" s="103"/>
      <c r="AS8" s="202" t="str">
        <f>IF($A8&lt;&gt;"",
IF(Assets!H6&lt;&gt;"",Assets!H6,"Please complete the SSM column in the Asset sheet"),"")</f>
        <v/>
      </c>
      <c r="AT8" s="106"/>
      <c r="AU8" s="354" t="str">
        <f>IFERROR(IF(AND($A8&lt;&gt;"",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8" s="103"/>
      <c r="AW8" s="356" t="str" cm="1">
        <f t="array" ref="AW8">IFERROR(IF(AND($A8&lt;&gt;"",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8" s="93"/>
      <c r="AY8" s="94"/>
      <c r="AZ8" s="94"/>
      <c r="BA8" s="94"/>
      <c r="BB8" s="358"/>
      <c r="BC8" s="356" t="str" cm="1">
        <f t="array" ref="BC8">IFERROR(IF(AND($A8&lt;&gt;"",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8" s="93"/>
      <c r="BE8" s="94"/>
      <c r="BF8" s="94"/>
      <c r="BG8" s="123"/>
      <c r="BH8" s="585" t="str">
        <f>IF($A8&lt;&gt;"",
IF(Assets!I6&lt;&gt;"",Assets!I6,"Please complete the SCM column in the Asset sheet"),"")</f>
        <v/>
      </c>
      <c r="BI8" s="581"/>
      <c r="BJ8" s="387" t="str">
        <f>IFERROR(IF(AND($A8&lt;&gt;"",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8" s="330" t="str" cm="1">
        <f t="array" ref="BK8">IF($A8&lt;&gt;"",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8" s="204" t="str">
        <f>Assets!P6</f>
        <v/>
      </c>
      <c r="BM8" s="205" t="str">
        <f>Assets!Q6</f>
        <v/>
      </c>
      <c r="BN8" s="207"/>
      <c r="BO8" s="389" t="str">
        <f>IF($A8&lt;&gt;"",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8" s="116"/>
      <c r="BQ8" s="389" t="str">
        <f>IFERROR(IF($A8&lt;&gt;"",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8" s="116"/>
      <c r="BS8" s="389" t="str">
        <f>IF($A8&lt;&gt;"",
   IF(EInfo_ACM[[#This Row],[List of network interfaces]]&lt;&gt;"",
   _xlfn.TEXTJOIN(", "&amp;CHAR(10),TRUE, "E.Info.SCM-1.SCM.States", "E.Info.SCM-1.SCM.SecObjectives"), ""), "")</f>
        <v/>
      </c>
      <c r="BT8" s="116"/>
      <c r="BU8" s="391" t="str">
        <f>IFERROR(IF(AND($A8&lt;&gt;"",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8" s="93"/>
      <c r="BW8" s="94"/>
      <c r="BX8" s="94"/>
      <c r="BY8" s="94"/>
      <c r="BZ8" s="358"/>
      <c r="CA8" s="391" t="str">
        <f>IFERROR(IF(AND($A8&lt;&gt;"",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8" s="93"/>
      <c r="CC8" s="94"/>
      <c r="CD8" s="358"/>
      <c r="CE8" s="130" t="str">
        <f>IFERROR(IF(AND($A8&lt;&gt;"",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8" s="93"/>
      <c r="CG8" s="94"/>
      <c r="CH8" s="94"/>
      <c r="CI8" s="358"/>
      <c r="CJ8" s="400"/>
      <c r="CK8" s="394" t="str" cm="1">
        <f t="array" ref="CK8">IFERROR(IF($A8&lt;&gt;"",
     _xlfn.IFS(EInfo_ACM[[#This Row],[E.Info.DT.DLM-1]]="N/A", "N/A", AND(VALUE(RIGHT(EInfo_ACM[[#This Row],[E.Info.DT.DLM-1]]))=1, OR(EInfo_ACM[[#This Row],[Type]]="Privacy", AND(Assets!E6="Sensitive", EInfo_ACM[[#This Row],[Type]]="Security", Assets!D6="Parameter"))), "E.Info.DLM-1.DLM"), ""), "")</f>
        <v/>
      </c>
      <c r="CL8" s="397"/>
      <c r="CM8" s="403"/>
      <c r="CN8" s="142" t="str">
        <f>IFERROR(IF($A8&lt;&gt;"",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8" s="143"/>
      <c r="CP8" s="110" t="str">
        <f>IF($A8&lt;&gt;"",
IF(Assets!J6&lt;&gt;"",Assets!J6,"Please complete the CCK column in the Asset sheet"),"")</f>
        <v/>
      </c>
      <c r="CQ8" s="209"/>
      <c r="CR8" s="404" t="str">
        <f>IFERROR(IF($A8&lt;&gt;"",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8" s="86"/>
      <c r="CT8" s="210"/>
      <c r="CU8" s="404" t="str">
        <f>IFERROR(IF($A8&lt;&gt;"",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8" s="86"/>
      <c r="CW8" s="210"/>
      <c r="CX8" s="330" t="str">
        <f>IFERROR(IF($A8&lt;&gt;"",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8" s="86"/>
      <c r="CZ8" s="14"/>
    </row>
    <row r="9" spans="1:104" ht="69.75" customHeight="1" x14ac:dyDescent="0.3">
      <c r="A9" s="241" t="str">
        <f>IF(Assets!A7="", "", Assets!A7)</f>
        <v/>
      </c>
      <c r="B9" s="141" t="str">
        <f>IF(Assets!C7="", "", Assets!C7)</f>
        <v/>
      </c>
      <c r="C9" s="191"/>
      <c r="D9" s="330" t="str" cm="1">
        <f t="array" ref="D9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AND(Assets!E7="Sensitive", EInfo_ACM[[#This Row],[Type]]="Security", Assets!D7="Parameter"), "E.Info.DLM-1.SenSecParam"), ""), ""),
          IF(EInfo_ACM[[#This Row],[Type]]="Privacy", "E.Info.UNM-1.PersonalInformation", ""),
          "E.Info.GEC-1."&amp;EInfo_ACM[[#This Row],[Type]]&amp;"Asset"
),""), "")</f>
        <v/>
      </c>
      <c r="E9" s="89" t="str">
        <f>IF(Assets!B7="", "", Assets!B7)</f>
        <v/>
      </c>
      <c r="F9" s="186" t="str">
        <f>IF(EInfo_ACM[[#This Row],[Type]]&lt;&gt;"", _xlfn.TEXTJOIN(", "&amp;CHAR(10), TRUE, "E.Info.ACM-1."&amp;EInfo_ACM[[#This Row],[Type]]&amp;"Asset.Access"), "")</f>
        <v/>
      </c>
      <c r="G9" s="192" t="str">
        <f>IF(EInfo_ACM[[#This Row],[Assets]]&lt;&gt;"", IF(Assets!G7&lt;&gt;"", Assets!G7, "Please complete the Mapping_Asset_Entities tab"), "")</f>
        <v/>
      </c>
      <c r="H9" s="330" t="str" cm="1">
        <f t="array" ref="H9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9" s="52"/>
      <c r="J9" s="120"/>
      <c r="K9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9" s="87"/>
      <c r="M9" s="210"/>
      <c r="N9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9" s="87"/>
      <c r="P9" s="342"/>
      <c r="Q9" s="115"/>
      <c r="R9" s="171"/>
      <c r="S9" s="111"/>
      <c r="T9" s="112"/>
      <c r="U9" s="113"/>
      <c r="V9" s="199"/>
      <c r="W9" s="344" t="str" cm="1">
        <f t="array" ref="W9">IFERROR(IF($Y9&lt;&gt;"",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TRUE)&amp;".ACM."&amp;_xlfn.TEXTSPLIT(Assets!N7, ", "&amp;CHAR(10))&amp;"Interface"), "N/A"), ""), "N/A")</f>
        <v/>
      </c>
      <c r="X9" s="200" t="str">
        <f>IF(EInfo_ACM[[#This Row],[Assets]]&lt;&gt;"", IF(Assets!F7&lt;&gt;"", Assets!F7, "Please complete the Mapping_Asset_Interfaces tab"), "")</f>
        <v/>
      </c>
      <c r="Y9" s="91" t="str">
        <f>Assets!N7</f>
        <v/>
      </c>
      <c r="Z9" s="347"/>
      <c r="AA9" s="349" t="str" cm="1">
        <f t="array" ref="AA9">IFERROR(IF($Y9&lt;&gt;"",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9" s="201"/>
      <c r="AC9" s="105"/>
      <c r="AD9" s="106"/>
      <c r="AE9" s="106"/>
      <c r="AF9" s="354" t="str">
        <f>IFERROR(IF($A9&lt;&gt;"",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9" s="352"/>
      <c r="AH9" s="133" t="str">
        <f>IFERROR(IF($A9&lt;&gt;"",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9" s="352"/>
      <c r="AJ9" s="105"/>
      <c r="AK9" s="354" t="str">
        <f>IFERROR(IF($A9&lt;&gt;"",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9" s="352"/>
      <c r="AM9" s="114"/>
      <c r="AN9" s="107"/>
      <c r="AO9" s="354" t="str">
        <f>IFERROR(IF($A9&lt;&gt;"",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9" s="86"/>
      <c r="AQ9" s="349" t="str">
        <f>IFERROR(IF($A9&lt;&gt;"",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9" s="103"/>
      <c r="AS9" s="202" t="s">
        <v>161</v>
      </c>
      <c r="AT9" s="106"/>
      <c r="AU9" s="354" t="str">
        <f>IFERROR(IF(AND($A9&lt;&gt;"",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9" s="103"/>
      <c r="AW9" s="356" t="str" cm="1">
        <f t="array" ref="AW9">IFERROR(IF(AND($A9&lt;&gt;"",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9" s="93"/>
      <c r="AY9" s="94"/>
      <c r="AZ9" s="94"/>
      <c r="BA9" s="94"/>
      <c r="BB9" s="358"/>
      <c r="BC9" s="356" t="str" cm="1">
        <f t="array" ref="BC9">IFERROR(IF(AND($A9&lt;&gt;"",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9" s="93"/>
      <c r="BE9" s="94"/>
      <c r="BF9" s="94"/>
      <c r="BG9" s="123"/>
      <c r="BH9" s="585" t="str">
        <f>IF($A9&lt;&gt;"",
IF(Assets!I7&lt;&gt;"",Assets!I7,"Please complete the SCM column in the Asset sheet"),"")</f>
        <v/>
      </c>
      <c r="BI9" s="581"/>
      <c r="BJ9" s="387" t="str">
        <f>IFERROR(IF(AND($A9&lt;&gt;"",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9" s="330" t="str" cm="1">
        <f t="array" ref="BK9">IF($A9&lt;&gt;"",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9" s="204" t="str">
        <f>Assets!P7</f>
        <v/>
      </c>
      <c r="BM9" s="205" t="str">
        <f>Assets!Q7</f>
        <v/>
      </c>
      <c r="BN9" s="207"/>
      <c r="BO9" s="389" t="str">
        <f>IF($A9&lt;&gt;"",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9" s="116"/>
      <c r="BQ9" s="389" t="str">
        <f>IFERROR(IF($A9&lt;&gt;"",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9" s="116"/>
      <c r="BS9" s="389" t="str">
        <f>IF($A9&lt;&gt;"",
   IF(EInfo_ACM[[#This Row],[List of network interfaces]]&lt;&gt;"",
   _xlfn.TEXTJOIN(", "&amp;CHAR(10),TRUE, "E.Info.SCM-1.SCM.States", "E.Info.SCM-1.SCM.SecObjectives"), ""), "")</f>
        <v/>
      </c>
      <c r="BT9" s="116"/>
      <c r="BU9" s="391" t="str">
        <f>IFERROR(IF(AND($A9&lt;&gt;"",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9" s="93"/>
      <c r="BW9" s="94"/>
      <c r="BX9" s="94"/>
      <c r="BY9" s="94"/>
      <c r="BZ9" s="358"/>
      <c r="CA9" s="391" t="str">
        <f>IFERROR(IF(AND($A9&lt;&gt;"",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9" s="93"/>
      <c r="CC9" s="94"/>
      <c r="CD9" s="358"/>
      <c r="CE9" s="130" t="str">
        <f>IFERROR(IF(AND($A9&lt;&gt;"",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9" s="93"/>
      <c r="CG9" s="94"/>
      <c r="CH9" s="94"/>
      <c r="CI9" s="358"/>
      <c r="CJ9" s="400"/>
      <c r="CK9" s="394" t="str" cm="1">
        <f t="array" ref="CK9">IFERROR(IF($A9&lt;&gt;"",
     _xlfn.IFS(EInfo_ACM[[#This Row],[E.Info.DT.DLM-1]]="N/A", "N/A", AND(VALUE(RIGHT(EInfo_ACM[[#This Row],[E.Info.DT.DLM-1]]))=1, OR(EInfo_ACM[[#This Row],[Type]]="Privacy", AND(Assets!E7="Sensitive", EInfo_ACM[[#This Row],[Type]]="Security", Assets!D7="Parameter"))), "E.Info.DLM-1.DLM"), ""), "")</f>
        <v/>
      </c>
      <c r="CL9" s="397"/>
      <c r="CM9" s="403"/>
      <c r="CN9" s="142" t="str">
        <f>IFERROR(IF($A9&lt;&gt;"",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9" s="143"/>
      <c r="CP9" s="110" t="str">
        <f>IF($A9&lt;&gt;"",
IF(Assets!J7&lt;&gt;"",Assets!J7,"Please complete the CCK column in the Asset sheet"),"")</f>
        <v/>
      </c>
      <c r="CQ9" s="209"/>
      <c r="CR9" s="404" t="str">
        <f>IFERROR(IF($A9&lt;&gt;"",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9" s="86"/>
      <c r="CT9" s="210"/>
      <c r="CU9" s="404" t="str">
        <f>IFERROR(IF($A9&lt;&gt;"",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9" s="86"/>
      <c r="CW9" s="210"/>
      <c r="CX9" s="330" t="str">
        <f>IFERROR(IF($A9&lt;&gt;"",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9" s="86"/>
      <c r="CZ9" s="14"/>
    </row>
    <row r="10" spans="1:104" ht="69.75" customHeight="1" x14ac:dyDescent="0.3">
      <c r="A10" s="241" t="str">
        <f>IF(Assets!A8="", "", Assets!A8)</f>
        <v/>
      </c>
      <c r="B10" s="141" t="str">
        <f>IF(Assets!C8="", "", Assets!C8)</f>
        <v/>
      </c>
      <c r="C10" s="191"/>
      <c r="D10" s="330" t="str" cm="1">
        <f t="array" ref="D10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AND(Assets!E8="Sensitive", EInfo_ACM[[#This Row],[Type]]="Security", Assets!D8="Parameter"), "E.Info.DLM-1.SenSecParam"), ""), ""),
          IF(EInfo_ACM[[#This Row],[Type]]="Privacy", "E.Info.UNM-1.PersonalInformation", ""),
          "E.Info.GEC-1."&amp;EInfo_ACM[[#This Row],[Type]]&amp;"Asset"
),""), "")</f>
        <v/>
      </c>
      <c r="E10" s="89" t="str">
        <f>IF(Assets!B8="", "", Assets!B8)</f>
        <v/>
      </c>
      <c r="F10" s="186" t="str">
        <f>IF(EInfo_ACM[[#This Row],[Type]]&lt;&gt;"", _xlfn.TEXTJOIN(", "&amp;CHAR(10), TRUE, "E.Info.ACM-1."&amp;EInfo_ACM[[#This Row],[Type]]&amp;"Asset.Access"), "")</f>
        <v/>
      </c>
      <c r="G10" s="192" t="str">
        <f>IF(EInfo_ACM[[#This Row],[Assets]]&lt;&gt;"", IF(Assets!G8&lt;&gt;"", Assets!G8, "Please complete the Mapping_Asset_Entities tab"), "")</f>
        <v/>
      </c>
      <c r="H10" s="330" t="str" cm="1">
        <f t="array" ref="H10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10" s="52"/>
      <c r="J10" s="120"/>
      <c r="K10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10" s="87"/>
      <c r="M10" s="210"/>
      <c r="N10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10" s="87"/>
      <c r="P10" s="342"/>
      <c r="Q10" s="115"/>
      <c r="R10" s="171"/>
      <c r="S10" s="111"/>
      <c r="T10" s="112"/>
      <c r="U10" s="113"/>
      <c r="V10" s="199"/>
      <c r="W10" s="344" t="str" cm="1">
        <f t="array" ref="W10">IFERROR(IF($Y10&lt;&gt;"",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TRUE)&amp;".ACM."&amp;_xlfn.TEXTSPLIT(Assets!N8, ", "&amp;CHAR(10))&amp;"Interface"), "N/A"), ""), "N/A")</f>
        <v/>
      </c>
      <c r="X10" s="200" t="str">
        <f>IF(EInfo_ACM[[#This Row],[Assets]]&lt;&gt;"", IF(Assets!F8&lt;&gt;"", Assets!F8, "Please complete the Mapping_Asset_Interfaces tab"), "")</f>
        <v/>
      </c>
      <c r="Y10" s="91" t="str">
        <f>Assets!N8</f>
        <v/>
      </c>
      <c r="Z10" s="347"/>
      <c r="AA10" s="349" t="str" cm="1">
        <f t="array" ref="AA10">IFERROR(IF($Y10&lt;&gt;"",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10" s="201"/>
      <c r="AC10" s="105"/>
      <c r="AD10" s="106"/>
      <c r="AE10" s="106"/>
      <c r="AF10" s="354" t="str">
        <f>IFERROR(IF($A10&lt;&gt;"",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10" s="352"/>
      <c r="AH10" s="133" t="str">
        <f>IFERROR(IF($A10&lt;&gt;"",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10" s="352"/>
      <c r="AJ10" s="105"/>
      <c r="AK10" s="354" t="str">
        <f>IFERROR(IF($A10&lt;&gt;"",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10" s="352"/>
      <c r="AM10" s="114"/>
      <c r="AN10" s="107"/>
      <c r="AO10" s="354" t="str">
        <f>IFERROR(IF($A10&lt;&gt;"",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10" s="86"/>
      <c r="AQ10" s="349" t="str">
        <f>IFERROR(IF($A10&lt;&gt;"",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10" s="103"/>
      <c r="AS10" s="202" t="str">
        <f>IF($A10&lt;&gt;"",
IF(Assets!H8&lt;&gt;"",Assets!H8,"Please complete the SSM column in the Asset sheet"),"")</f>
        <v/>
      </c>
      <c r="AT10" s="106"/>
      <c r="AU10" s="354" t="str">
        <f>IFERROR(IF(AND($A10&lt;&gt;"",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10" s="103"/>
      <c r="AW10" s="356" t="str" cm="1">
        <f t="array" ref="AW10">IFERROR(IF(AND($A10&lt;&gt;"",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10" s="93"/>
      <c r="AY10" s="94"/>
      <c r="AZ10" s="94"/>
      <c r="BA10" s="94"/>
      <c r="BB10" s="358"/>
      <c r="BC10" s="356" t="str" cm="1">
        <f t="array" ref="BC10">IFERROR(IF(AND($A10&lt;&gt;"",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10" s="93"/>
      <c r="BE10" s="94"/>
      <c r="BF10" s="94"/>
      <c r="BG10" s="123"/>
      <c r="BH10" s="585" t="str">
        <f>IF($A10&lt;&gt;"",
IF(Assets!I8&lt;&gt;"",Assets!I8,"Please complete the SCM column in the Asset sheet"),"")</f>
        <v/>
      </c>
      <c r="BI10" s="581"/>
      <c r="BJ10" s="387" t="str">
        <f>IFERROR(IF(AND($A10&lt;&gt;"",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10" s="330" t="str" cm="1">
        <f t="array" ref="BK10">IF($A10&lt;&gt;"",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10" s="204" t="str">
        <f>Assets!P8</f>
        <v/>
      </c>
      <c r="BM10" s="205" t="str">
        <f>Assets!Q8</f>
        <v/>
      </c>
      <c r="BN10" s="207"/>
      <c r="BO10" s="389" t="str">
        <f>IF($A10&lt;&gt;"",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10" s="116"/>
      <c r="BQ10" s="389" t="str">
        <f>IFERROR(IF($A10&lt;&gt;"",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10" s="116"/>
      <c r="BS10" s="389" t="str">
        <f>IF($A10&lt;&gt;"",
   IF(EInfo_ACM[[#This Row],[List of network interfaces]]&lt;&gt;"",
   _xlfn.TEXTJOIN(", "&amp;CHAR(10),TRUE, "E.Info.SCM-1.SCM.States", "E.Info.SCM-1.SCM.SecObjectives"), ""), "")</f>
        <v/>
      </c>
      <c r="BT10" s="116"/>
      <c r="BU10" s="391" t="str">
        <f>IFERROR(IF(AND($A10&lt;&gt;"",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10" s="93"/>
      <c r="BW10" s="94"/>
      <c r="BX10" s="94"/>
      <c r="BY10" s="94"/>
      <c r="BZ10" s="358"/>
      <c r="CA10" s="391" t="str">
        <f>IFERROR(IF(AND($A10&lt;&gt;"",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10" s="93"/>
      <c r="CC10" s="94"/>
      <c r="CD10" s="358"/>
      <c r="CE10" s="130" t="str">
        <f>IFERROR(IF(AND($A10&lt;&gt;"",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10" s="93"/>
      <c r="CG10" s="94"/>
      <c r="CH10" s="94"/>
      <c r="CI10" s="358"/>
      <c r="CJ10" s="400"/>
      <c r="CK10" s="394" t="str" cm="1">
        <f t="array" ref="CK10">IFERROR(IF($A10&lt;&gt;"",
     _xlfn.IFS(EInfo_ACM[[#This Row],[E.Info.DT.DLM-1]]="N/A", "N/A", AND(VALUE(RIGHT(EInfo_ACM[[#This Row],[E.Info.DT.DLM-1]]))=1, OR(EInfo_ACM[[#This Row],[Type]]="Privacy", AND(Assets!E8="Sensitive", EInfo_ACM[[#This Row],[Type]]="Security", Assets!D8="Parameter"))), "E.Info.DLM-1.DLM"), ""), "")</f>
        <v/>
      </c>
      <c r="CL10" s="397"/>
      <c r="CM10" s="403"/>
      <c r="CN10" s="142" t="str">
        <f>IFERROR(IF($A10&lt;&gt;"",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10" s="143"/>
      <c r="CP10" s="110" t="str">
        <f>IF($A10&lt;&gt;"",
IF(Assets!J8&lt;&gt;"",Assets!J8,"Please complete the CCK column in the Asset sheet"),"")</f>
        <v/>
      </c>
      <c r="CQ10" s="209"/>
      <c r="CR10" s="404" t="str">
        <f>IFERROR(IF($A10&lt;&gt;"",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10" s="86"/>
      <c r="CT10" s="210"/>
      <c r="CU10" s="404" t="str">
        <f>IFERROR(IF($A10&lt;&gt;"",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10" s="86"/>
      <c r="CW10" s="210"/>
      <c r="CX10" s="330" t="str">
        <f>IFERROR(IF($A10&lt;&gt;"",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10" s="86"/>
      <c r="CZ10" s="14"/>
    </row>
    <row r="11" spans="1:104" ht="69.75" customHeight="1" x14ac:dyDescent="0.3">
      <c r="A11" s="241" t="str">
        <f>IF(Assets!A9="", "", Assets!A9)</f>
        <v/>
      </c>
      <c r="B11" s="141" t="str">
        <f>IF(Assets!C9="", "", Assets!C9)</f>
        <v/>
      </c>
      <c r="C11" s="191"/>
      <c r="D11" s="330" t="str" cm="1">
        <f t="array" ref="D11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AND(Assets!E9="Sensitive", EInfo_ACM[[#This Row],[Type]]="Security", Assets!D9="Parameter"), "E.Info.DLM-1.SenSecParam"), ""), ""),
          IF(EInfo_ACM[[#This Row],[Type]]="Privacy", "E.Info.UNM-1.PersonalInformation", ""),
          "E.Info.GEC-1."&amp;EInfo_ACM[[#This Row],[Type]]&amp;"Asset"
),""), "")</f>
        <v/>
      </c>
      <c r="E11" s="89" t="str">
        <f>IF(Assets!B9="", "", Assets!B9)</f>
        <v/>
      </c>
      <c r="F11" s="186" t="str">
        <f>IF(EInfo_ACM[[#This Row],[Type]]&lt;&gt;"", _xlfn.TEXTJOIN(", "&amp;CHAR(10), TRUE, "E.Info.ACM-1."&amp;EInfo_ACM[[#This Row],[Type]]&amp;"Asset.Access"), "")</f>
        <v/>
      </c>
      <c r="G11" s="192" t="str">
        <f>IF(EInfo_ACM[[#This Row],[Assets]]&lt;&gt;"", IF(Assets!G9&lt;&gt;"", Assets!G9, "Please complete the Mapping_Asset_Entities tab"), "")</f>
        <v/>
      </c>
      <c r="H11" s="330" t="str" cm="1">
        <f t="array" ref="H11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11" s="52"/>
      <c r="J11" s="120"/>
      <c r="K11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11" s="87"/>
      <c r="M11" s="210"/>
      <c r="N11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11" s="87"/>
      <c r="P11" s="342"/>
      <c r="Q11" s="115"/>
      <c r="R11" s="171"/>
      <c r="S11" s="111"/>
      <c r="T11" s="112"/>
      <c r="U11" s="113"/>
      <c r="V11" s="199"/>
      <c r="W11" s="344" t="str" cm="1">
        <f t="array" ref="W11">IFERROR(IF($Y11&lt;&gt;"",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TRUE)&amp;".ACM."&amp;_xlfn.TEXTSPLIT(Assets!N9, ", "&amp;CHAR(10))&amp;"Interface"), "N/A"), ""), "N/A")</f>
        <v/>
      </c>
      <c r="X11" s="200" t="str">
        <f>IF(EInfo_ACM[[#This Row],[Assets]]&lt;&gt;"", IF(Assets!F9&lt;&gt;"", Assets!F9, "Please complete the Mapping_Asset_Interfaces tab"), "")</f>
        <v/>
      </c>
      <c r="Y11" s="91" t="str">
        <f>Assets!N9</f>
        <v/>
      </c>
      <c r="Z11" s="347"/>
      <c r="AA11" s="349" t="str" cm="1">
        <f t="array" ref="AA11">IFERROR(IF($Y11&lt;&gt;"",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11" s="201"/>
      <c r="AC11" s="105"/>
      <c r="AD11" s="106"/>
      <c r="AE11" s="106"/>
      <c r="AF11" s="354" t="str">
        <f>IFERROR(IF($A11&lt;&gt;"",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11" s="352"/>
      <c r="AH11" s="133" t="str">
        <f>IFERROR(IF($A11&lt;&gt;"",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11" s="352"/>
      <c r="AJ11" s="105"/>
      <c r="AK11" s="354" t="str">
        <f>IFERROR(IF($A11&lt;&gt;"",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11" s="352"/>
      <c r="AM11" s="114"/>
      <c r="AN11" s="107"/>
      <c r="AO11" s="354" t="str">
        <f>IFERROR(IF($A11&lt;&gt;"",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11" s="86"/>
      <c r="AQ11" s="349" t="str">
        <f>IFERROR(IF($A11&lt;&gt;"",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11" s="103"/>
      <c r="AS11" s="202" t="str">
        <f>IF($A11&lt;&gt;"",
IF(Assets!H9&lt;&gt;"",Assets!H9,"Please complete the SSM column in the Asset sheet"),"")</f>
        <v/>
      </c>
      <c r="AT11" s="106"/>
      <c r="AU11" s="354" t="str">
        <f>IFERROR(IF(AND($A11&lt;&gt;"",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11" s="103"/>
      <c r="AW11" s="356" t="str" cm="1">
        <f t="array" ref="AW11">IFERROR(IF(AND($A11&lt;&gt;"",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11" s="93"/>
      <c r="AY11" s="94"/>
      <c r="AZ11" s="94"/>
      <c r="BA11" s="94"/>
      <c r="BB11" s="358"/>
      <c r="BC11" s="356" t="str" cm="1">
        <f t="array" ref="BC11">IFERROR(IF(AND($A11&lt;&gt;"",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11" s="93"/>
      <c r="BE11" s="94"/>
      <c r="BF11" s="94"/>
      <c r="BG11" s="123"/>
      <c r="BH11" s="585" t="str">
        <f>IF($A11&lt;&gt;"",
IF(Assets!I9&lt;&gt;"",Assets!I9,"Please complete the SCM column in the Asset sheet"),"")</f>
        <v/>
      </c>
      <c r="BI11" s="581"/>
      <c r="BJ11" s="387" t="str">
        <f>IFERROR(IF(AND($A11&lt;&gt;"",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11" s="330" t="str" cm="1">
        <f t="array" ref="BK11">IF($A11&lt;&gt;"",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11" s="204" t="str">
        <f>Assets!P9</f>
        <v/>
      </c>
      <c r="BM11" s="205" t="str">
        <f>Assets!Q9</f>
        <v/>
      </c>
      <c r="BN11" s="207"/>
      <c r="BO11" s="389" t="str">
        <f>IF($A11&lt;&gt;"",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11" s="116"/>
      <c r="BQ11" s="389" t="str">
        <f>IFERROR(IF($A11&lt;&gt;"",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11" s="116"/>
      <c r="BS11" s="389" t="str">
        <f>IF($A11&lt;&gt;"",
   IF(EInfo_ACM[[#This Row],[List of network interfaces]]&lt;&gt;"",
   _xlfn.TEXTJOIN(", "&amp;CHAR(10),TRUE, "E.Info.SCM-1.SCM.States", "E.Info.SCM-1.SCM.SecObjectives"), ""), "")</f>
        <v/>
      </c>
      <c r="BT11" s="116"/>
      <c r="BU11" s="391" t="str">
        <f>IFERROR(IF(AND($A11&lt;&gt;"",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11" s="93"/>
      <c r="BW11" s="94"/>
      <c r="BX11" s="94"/>
      <c r="BY11" s="94"/>
      <c r="BZ11" s="358"/>
      <c r="CA11" s="391" t="str">
        <f>IFERROR(IF(AND($A11&lt;&gt;"",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11" s="93"/>
      <c r="CC11" s="94"/>
      <c r="CD11" s="358"/>
      <c r="CE11" s="130" t="str">
        <f>IFERROR(IF(AND($A11&lt;&gt;"",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11" s="93"/>
      <c r="CG11" s="94"/>
      <c r="CH11" s="94"/>
      <c r="CI11" s="358"/>
      <c r="CJ11" s="400"/>
      <c r="CK11" s="394" t="str" cm="1">
        <f t="array" ref="CK11">IFERROR(IF($A11&lt;&gt;"",
     _xlfn.IFS(EInfo_ACM[[#This Row],[E.Info.DT.DLM-1]]="N/A", "N/A", AND(VALUE(RIGHT(EInfo_ACM[[#This Row],[E.Info.DT.DLM-1]]))=1, OR(EInfo_ACM[[#This Row],[Type]]="Privacy", AND(Assets!E9="Sensitive", EInfo_ACM[[#This Row],[Type]]="Security", Assets!D9="Parameter"))), "E.Info.DLM-1.DLM"), ""), "")</f>
        <v/>
      </c>
      <c r="CL11" s="397"/>
      <c r="CM11" s="403"/>
      <c r="CN11" s="142" t="str">
        <f>IFERROR(IF($A11&lt;&gt;"",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11" s="143"/>
      <c r="CP11" s="110" t="str">
        <f>IF($A11&lt;&gt;"",
IF(Assets!J9&lt;&gt;"",Assets!J9,"Please complete the CCK column in the Asset sheet"),"")</f>
        <v/>
      </c>
      <c r="CQ11" s="209"/>
      <c r="CR11" s="404" t="str">
        <f>IFERROR(IF($A11&lt;&gt;"",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11" s="86"/>
      <c r="CT11" s="210"/>
      <c r="CU11" s="404" t="str">
        <f>IFERROR(IF($A11&lt;&gt;"",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11" s="86"/>
      <c r="CW11" s="210"/>
      <c r="CX11" s="330" t="str">
        <f>IFERROR(IF($A11&lt;&gt;"",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11" s="86"/>
      <c r="CZ11" s="14"/>
    </row>
    <row r="12" spans="1:104" x14ac:dyDescent="0.3">
      <c r="A12" s="241" t="str">
        <f>IF(Assets!A10="", "", Assets!A10)</f>
        <v/>
      </c>
      <c r="B12" s="141" t="str">
        <f>IF(Assets!C10="", "", Assets!C10)</f>
        <v/>
      </c>
      <c r="C12" s="191"/>
      <c r="D12" s="330" t="str" cm="1">
        <f t="array" ref="D12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AND(Assets!E10="Sensitive", EInfo_ACM[[#This Row],[Type]]="Security", Assets!D10="Parameter"), "E.Info.DLM-1.SenSecParam"), ""), ""),
          IF(EInfo_ACM[[#This Row],[Type]]="Privacy", "E.Info.UNM-1.PersonalInformation", ""),
          "E.Info.GEC-1."&amp;EInfo_ACM[[#This Row],[Type]]&amp;"Asset"
),""), "")</f>
        <v/>
      </c>
      <c r="E12" s="89" t="str">
        <f>IF(Assets!B10="", "", Assets!B10)</f>
        <v/>
      </c>
      <c r="F12" s="186" t="str">
        <f>IF(EInfo_ACM[[#This Row],[Type]]&lt;&gt;"", _xlfn.TEXTJOIN(", "&amp;CHAR(10), TRUE, "E.Info.ACM-1."&amp;EInfo_ACM[[#This Row],[Type]]&amp;"Asset.Access"), "")</f>
        <v/>
      </c>
      <c r="G12" s="192" t="str">
        <f>IF(EInfo_ACM[[#This Row],[Assets]]&lt;&gt;"", IF(Assets!G10&lt;&gt;"", Assets!G10, "Please complete the Mapping_Asset_Entities tab"), "")</f>
        <v/>
      </c>
      <c r="H12" s="330" t="str" cm="1">
        <f t="array" ref="H12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12" s="52"/>
      <c r="J12" s="120"/>
      <c r="K12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12" s="87"/>
      <c r="M12" s="210"/>
      <c r="N12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12" s="87"/>
      <c r="P12" s="342"/>
      <c r="Q12" s="115"/>
      <c r="R12" s="171"/>
      <c r="S12" s="111"/>
      <c r="T12" s="112"/>
      <c r="U12" s="113"/>
      <c r="V12" s="199"/>
      <c r="W12" s="344" t="str" cm="1">
        <f t="array" ref="W12">IFERROR(IF($Y12&lt;&gt;"",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TRUE)&amp;".ACM."&amp;_xlfn.TEXTSPLIT(Assets!N10, ", "&amp;CHAR(10))&amp;"Interface"), "N/A"), ""), "N/A")</f>
        <v/>
      </c>
      <c r="X12" s="200" t="str">
        <f>IF(EInfo_ACM[[#This Row],[Assets]]&lt;&gt;"", IF(Assets!F10&lt;&gt;"", Assets!F10, "Please complete the Mapping_Asset_Interfaces tab"), "")</f>
        <v/>
      </c>
      <c r="Y12" s="91" t="str">
        <f>Assets!N10</f>
        <v/>
      </c>
      <c r="Z12" s="347"/>
      <c r="AA12" s="349" t="str" cm="1">
        <f t="array" ref="AA12">IFERROR(IF($Y12&lt;&gt;"",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12" s="201"/>
      <c r="AC12" s="105"/>
      <c r="AD12" s="106"/>
      <c r="AE12" s="106"/>
      <c r="AF12" s="354" t="str">
        <f>IFERROR(IF($A12&lt;&gt;"",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12" s="352"/>
      <c r="AH12" s="133" t="str">
        <f>IFERROR(IF($A12&lt;&gt;"",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12" s="352"/>
      <c r="AJ12" s="105"/>
      <c r="AK12" s="354" t="str">
        <f>IFERROR(IF($A12&lt;&gt;"",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12" s="352"/>
      <c r="AM12" s="114"/>
      <c r="AN12" s="107"/>
      <c r="AO12" s="354" t="str">
        <f>IFERROR(IF($A12&lt;&gt;"",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12" s="86"/>
      <c r="AQ12" s="349" t="str">
        <f>IFERROR(IF($A12&lt;&gt;"",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12" s="103"/>
      <c r="AS12" s="202" t="str">
        <f>IF($A12&lt;&gt;"",
IF(Assets!H10&lt;&gt;"",Assets!H10,"Please complete the SSM column in the Asset sheet"),"")</f>
        <v/>
      </c>
      <c r="AT12" s="106"/>
      <c r="AU12" s="354" t="str">
        <f>IFERROR(IF(AND($A12&lt;&gt;"",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12" s="103"/>
      <c r="AW12" s="356" t="str" cm="1">
        <f t="array" ref="AW12">IFERROR(IF(AND($A12&lt;&gt;"",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12" s="93"/>
      <c r="AY12" s="94"/>
      <c r="AZ12" s="94"/>
      <c r="BA12" s="94"/>
      <c r="BB12" s="358"/>
      <c r="BC12" s="356" t="str" cm="1">
        <f t="array" ref="BC12">IFERROR(IF(AND($A12&lt;&gt;"",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12" s="93"/>
      <c r="BE12" s="94"/>
      <c r="BF12" s="94"/>
      <c r="BG12" s="123"/>
      <c r="BH12" s="585" t="str">
        <f>IF($A12&lt;&gt;"",
IF(Assets!I10&lt;&gt;"",Assets!I10,"Please complete the SCM column in the Asset sheet"),"")</f>
        <v/>
      </c>
      <c r="BI12" s="581"/>
      <c r="BJ12" s="387" t="str">
        <f>IFERROR(IF(AND($A12&lt;&gt;"",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12" s="330" t="str" cm="1">
        <f t="array" ref="BK12">IF($A12&lt;&gt;"",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12" s="204" t="str">
        <f>Assets!P10</f>
        <v/>
      </c>
      <c r="BM12" s="205" t="str">
        <f>Assets!Q10</f>
        <v/>
      </c>
      <c r="BN12" s="207"/>
      <c r="BO12" s="389" t="str">
        <f>IF($A12&lt;&gt;"",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12" s="116"/>
      <c r="BQ12" s="389" t="str">
        <f>IFERROR(IF($A12&lt;&gt;"",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12" s="116"/>
      <c r="BS12" s="389" t="str">
        <f>IF($A12&lt;&gt;"",
   IF(EInfo_ACM[[#This Row],[List of network interfaces]]&lt;&gt;"",
   _xlfn.TEXTJOIN(", "&amp;CHAR(10),TRUE, "E.Info.SCM-1.SCM.States", "E.Info.SCM-1.SCM.SecObjectives"), ""), "")</f>
        <v/>
      </c>
      <c r="BT12" s="116"/>
      <c r="BU12" s="391" t="str">
        <f>IFERROR(IF(AND($A12&lt;&gt;"",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12" s="93"/>
      <c r="BW12" s="94"/>
      <c r="BX12" s="94"/>
      <c r="BY12" s="94"/>
      <c r="BZ12" s="358"/>
      <c r="CA12" s="391" t="str">
        <f>IFERROR(IF(AND($A12&lt;&gt;"",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12" s="93"/>
      <c r="CC12" s="94"/>
      <c r="CD12" s="358"/>
      <c r="CE12" s="130" t="str">
        <f>IFERROR(IF(AND($A12&lt;&gt;"",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12" s="93"/>
      <c r="CG12" s="94"/>
      <c r="CH12" s="94"/>
      <c r="CI12" s="358"/>
      <c r="CJ12" s="400"/>
      <c r="CK12" s="394" t="str" cm="1">
        <f t="array" ref="CK12">IFERROR(IF($A12&lt;&gt;"",
     _xlfn.IFS(EInfo_ACM[[#This Row],[E.Info.DT.DLM-1]]="N/A", "N/A", AND(VALUE(RIGHT(EInfo_ACM[[#This Row],[E.Info.DT.DLM-1]]))=1, OR(EInfo_ACM[[#This Row],[Type]]="Privacy", AND(Assets!E10="Sensitive", EInfo_ACM[[#This Row],[Type]]="Security", Assets!D10="Parameter"))), "E.Info.DLM-1.DLM"), ""), "")</f>
        <v/>
      </c>
      <c r="CL12" s="397"/>
      <c r="CM12" s="403"/>
      <c r="CN12" s="142" t="str">
        <f>IFERROR(IF($A12&lt;&gt;"",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12" s="143"/>
      <c r="CP12" s="110" t="str">
        <f>IF($A12&lt;&gt;"",
IF(Assets!J10&lt;&gt;"",Assets!J10,"Please complete the CCK column in the Asset sheet"),"")</f>
        <v/>
      </c>
      <c r="CQ12" s="209"/>
      <c r="CR12" s="404" t="str">
        <f>IFERROR(IF($A12&lt;&gt;"",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12" s="86"/>
      <c r="CT12" s="210"/>
      <c r="CU12" s="404" t="str">
        <f>IFERROR(IF($A12&lt;&gt;"",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12" s="86"/>
      <c r="CW12" s="210"/>
      <c r="CX12" s="330" t="str">
        <f>IFERROR(IF($A12&lt;&gt;"",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12" s="86"/>
      <c r="CZ12" s="14"/>
    </row>
    <row r="13" spans="1:104" x14ac:dyDescent="0.3">
      <c r="A13" s="241" t="str">
        <f>IF(Assets!A11="", "", Assets!A11)</f>
        <v/>
      </c>
      <c r="B13" s="141" t="str">
        <f>IF(Assets!C11="", "", Assets!C11)</f>
        <v/>
      </c>
      <c r="C13" s="191"/>
      <c r="D13" s="330" t="str" cm="1">
        <f t="array" ref="D13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AND(Assets!E11="Sensitive", EInfo_ACM[[#This Row],[Type]]="Security", Assets!D11="Parameter"), "E.Info.DLM-1.SenSecParam"), ""), ""),
          IF(EInfo_ACM[[#This Row],[Type]]="Privacy", "E.Info.UNM-1.PersonalInformation", ""),
          "E.Info.GEC-1."&amp;EInfo_ACM[[#This Row],[Type]]&amp;"Asset"
),""), "")</f>
        <v/>
      </c>
      <c r="E13" s="89" t="str">
        <f>IF(Assets!B11="", "", Assets!B11)</f>
        <v/>
      </c>
      <c r="F13" s="186" t="str">
        <f>IF(EInfo_ACM[[#This Row],[Type]]&lt;&gt;"", _xlfn.TEXTJOIN(", "&amp;CHAR(10), TRUE, "E.Info.ACM-1."&amp;EInfo_ACM[[#This Row],[Type]]&amp;"Asset.Access"), "")</f>
        <v/>
      </c>
      <c r="G13" s="192" t="str">
        <f>IF(EInfo_ACM[[#This Row],[Assets]]&lt;&gt;"", IF(Assets!G11&lt;&gt;"", Assets!G11, "Please complete the Mapping_Asset_Entities tab"), "")</f>
        <v/>
      </c>
      <c r="H13" s="330" t="str" cm="1">
        <f t="array" ref="H13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13" s="52"/>
      <c r="J13" s="120"/>
      <c r="K13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13" s="87"/>
      <c r="M13" s="210"/>
      <c r="N13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13" s="87"/>
      <c r="P13" s="342"/>
      <c r="Q13" s="115"/>
      <c r="R13" s="171"/>
      <c r="S13" s="111"/>
      <c r="T13" s="112"/>
      <c r="U13" s="113"/>
      <c r="V13" s="199"/>
      <c r="W13" s="344" t="str" cm="1">
        <f t="array" ref="W13">IFERROR(IF($Y13&lt;&gt;"",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TRUE)&amp;".ACM."&amp;_xlfn.TEXTSPLIT(Assets!N11, ", "&amp;CHAR(10))&amp;"Interface"), "N/A"), ""), "N/A")</f>
        <v/>
      </c>
      <c r="X13" s="200" t="str">
        <f>IF(EInfo_ACM[[#This Row],[Assets]]&lt;&gt;"", IF(Assets!F11&lt;&gt;"", Assets!F11, "Please complete the Mapping_Asset_Interfaces tab"), "")</f>
        <v/>
      </c>
      <c r="Y13" s="91" t="str">
        <f>Assets!N11</f>
        <v/>
      </c>
      <c r="Z13" s="347"/>
      <c r="AA13" s="349" t="str" cm="1">
        <f t="array" ref="AA13">IFERROR(IF($Y13&lt;&gt;"",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13" s="201"/>
      <c r="AC13" s="105"/>
      <c r="AD13" s="106"/>
      <c r="AE13" s="106"/>
      <c r="AF13" s="354" t="str">
        <f>IFERROR(IF($A13&lt;&gt;"",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13" s="352"/>
      <c r="AH13" s="133" t="str">
        <f>IFERROR(IF($A13&lt;&gt;"",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13" s="352"/>
      <c r="AJ13" s="105"/>
      <c r="AK13" s="354" t="str">
        <f>IFERROR(IF($A13&lt;&gt;"",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13" s="352"/>
      <c r="AM13" s="114"/>
      <c r="AN13" s="107"/>
      <c r="AO13" s="354" t="str">
        <f>IFERROR(IF($A13&lt;&gt;"",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13" s="86"/>
      <c r="AQ13" s="349" t="str">
        <f>IFERROR(IF($A13&lt;&gt;"",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13" s="103"/>
      <c r="AS13" s="202" t="str">
        <f>IF($A13&lt;&gt;"",
IF(Assets!H11&lt;&gt;"",Assets!H11,"Please complete the SSM column in the Asset sheet"),"")</f>
        <v/>
      </c>
      <c r="AT13" s="106"/>
      <c r="AU13" s="354" t="str">
        <f>IFERROR(IF(AND($A13&lt;&gt;"",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13" s="103"/>
      <c r="AW13" s="356" t="str" cm="1">
        <f t="array" ref="AW13">IFERROR(IF(AND($A13&lt;&gt;"",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13" s="93"/>
      <c r="AY13" s="94"/>
      <c r="AZ13" s="94"/>
      <c r="BA13" s="94"/>
      <c r="BB13" s="358"/>
      <c r="BC13" s="356" t="str" cm="1">
        <f t="array" ref="BC13">IFERROR(IF(AND($A13&lt;&gt;"",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13" s="93"/>
      <c r="BE13" s="94"/>
      <c r="BF13" s="94"/>
      <c r="BG13" s="123"/>
      <c r="BH13" s="585" t="str">
        <f>IF($A13&lt;&gt;"",
IF(Assets!I11&lt;&gt;"",Assets!I11,"Please complete the SCM column in the Asset sheet"),"")</f>
        <v/>
      </c>
      <c r="BI13" s="581"/>
      <c r="BJ13" s="387" t="str">
        <f>IFERROR(IF(AND($A13&lt;&gt;"",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13" s="330" t="str" cm="1">
        <f t="array" ref="BK13">IF($A13&lt;&gt;"",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13" s="204" t="str">
        <f>Assets!P11</f>
        <v/>
      </c>
      <c r="BM13" s="205" t="str">
        <f>Assets!Q11</f>
        <v/>
      </c>
      <c r="BN13" s="207"/>
      <c r="BO13" s="389" t="str">
        <f>IF($A13&lt;&gt;"",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13" s="116"/>
      <c r="BQ13" s="389" t="str">
        <f>IFERROR(IF($A13&lt;&gt;"",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13" s="116"/>
      <c r="BS13" s="389" t="str">
        <f>IF($A13&lt;&gt;"",
   IF(EInfo_ACM[[#This Row],[List of network interfaces]]&lt;&gt;"",
   _xlfn.TEXTJOIN(", "&amp;CHAR(10),TRUE, "E.Info.SCM-1.SCM.States", "E.Info.SCM-1.SCM.SecObjectives"), ""), "")</f>
        <v/>
      </c>
      <c r="BT13" s="116"/>
      <c r="BU13" s="391" t="str">
        <f>IFERROR(IF(AND($A13&lt;&gt;"",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13" s="93"/>
      <c r="BW13" s="94"/>
      <c r="BX13" s="94"/>
      <c r="BY13" s="94"/>
      <c r="BZ13" s="358"/>
      <c r="CA13" s="391" t="str">
        <f>IFERROR(IF(AND($A13&lt;&gt;"",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13" s="93"/>
      <c r="CC13" s="94"/>
      <c r="CD13" s="358"/>
      <c r="CE13" s="130" t="str">
        <f>IFERROR(IF(AND($A13&lt;&gt;"",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13" s="93"/>
      <c r="CG13" s="94"/>
      <c r="CH13" s="94"/>
      <c r="CI13" s="358"/>
      <c r="CJ13" s="400"/>
      <c r="CK13" s="394" t="str" cm="1">
        <f t="array" ref="CK13">IFERROR(IF($A13&lt;&gt;"",
     _xlfn.IFS(EInfo_ACM[[#This Row],[E.Info.DT.DLM-1]]="N/A", "N/A", AND(VALUE(RIGHT(EInfo_ACM[[#This Row],[E.Info.DT.DLM-1]]))=1, OR(EInfo_ACM[[#This Row],[Type]]="Privacy", AND(Assets!E11="Sensitive", EInfo_ACM[[#This Row],[Type]]="Security", Assets!D11="Parameter"))), "E.Info.DLM-1.DLM"), ""), "")</f>
        <v/>
      </c>
      <c r="CL13" s="397"/>
      <c r="CM13" s="403"/>
      <c r="CN13" s="142" t="str">
        <f>IFERROR(IF($A13&lt;&gt;"",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13" s="143"/>
      <c r="CP13" s="110" t="str">
        <f>IF($A13&lt;&gt;"",
IF(Assets!J11&lt;&gt;"",Assets!J11,"Please complete the CCK column in the Asset sheet"),"")</f>
        <v/>
      </c>
      <c r="CQ13" s="209"/>
      <c r="CR13" s="404" t="str">
        <f>IFERROR(IF($A13&lt;&gt;"",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13" s="86"/>
      <c r="CT13" s="210"/>
      <c r="CU13" s="404" t="str">
        <f>IFERROR(IF($A13&lt;&gt;"",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13" s="86"/>
      <c r="CW13" s="210"/>
      <c r="CX13" s="330" t="str">
        <f>IFERROR(IF($A13&lt;&gt;"",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13" s="86"/>
      <c r="CZ13" s="14"/>
    </row>
    <row r="14" spans="1:104" x14ac:dyDescent="0.3">
      <c r="A14" s="241" t="str">
        <f>IF(Assets!A12="", "", Assets!A12)</f>
        <v/>
      </c>
      <c r="B14" s="141" t="str">
        <f>IF(Assets!C12="", "", Assets!C12)</f>
        <v/>
      </c>
      <c r="C14" s="191"/>
      <c r="D14" s="330" t="str" cm="1">
        <f t="array" ref="D14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AND(Assets!E12="Sensitive", EInfo_ACM[[#This Row],[Type]]="Security", Assets!D12="Parameter"), "E.Info.DLM-1.SenSecParam"), ""), ""),
          IF(EInfo_ACM[[#This Row],[Type]]="Privacy", "E.Info.UNM-1.PersonalInformation", ""),
          "E.Info.GEC-1."&amp;EInfo_ACM[[#This Row],[Type]]&amp;"Asset"
),""), "")</f>
        <v/>
      </c>
      <c r="E14" s="89" t="str">
        <f>IF(Assets!B12="", "", Assets!B12)</f>
        <v/>
      </c>
      <c r="F14" s="186" t="str">
        <f>IF(EInfo_ACM[[#This Row],[Type]]&lt;&gt;"", _xlfn.TEXTJOIN(", "&amp;CHAR(10), TRUE, "E.Info.ACM-1."&amp;EInfo_ACM[[#This Row],[Type]]&amp;"Asset.Access"), "")</f>
        <v/>
      </c>
      <c r="G14" s="192" t="str">
        <f>IF(EInfo_ACM[[#This Row],[Assets]]&lt;&gt;"", IF(Assets!G12&lt;&gt;"", Assets!G12, "Please complete the Mapping_Asset_Entities tab"), "")</f>
        <v/>
      </c>
      <c r="H14" s="330" t="str" cm="1">
        <f t="array" ref="H14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14" s="52"/>
      <c r="J14" s="120"/>
      <c r="K14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14" s="87"/>
      <c r="M14" s="210"/>
      <c r="N14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14" s="87"/>
      <c r="P14" s="342"/>
      <c r="Q14" s="115"/>
      <c r="R14" s="171"/>
      <c r="S14" s="111"/>
      <c r="T14" s="112"/>
      <c r="U14" s="113"/>
      <c r="V14" s="199"/>
      <c r="W14" s="344" t="str" cm="1">
        <f t="array" ref="W14">IFERROR(IF($Y14&lt;&gt;"",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TRUE)&amp;".ACM."&amp;_xlfn.TEXTSPLIT(Assets!N12, ", "&amp;CHAR(10))&amp;"Interface"), "N/A"), ""), "N/A")</f>
        <v/>
      </c>
      <c r="X14" s="200" t="str">
        <f>IF(EInfo_ACM[[#This Row],[Assets]]&lt;&gt;"", IF(Assets!F12&lt;&gt;"", Assets!F12, "Please complete the Mapping_Asset_Interfaces tab"), "")</f>
        <v/>
      </c>
      <c r="Y14" s="91" t="str">
        <f>Assets!N12</f>
        <v/>
      </c>
      <c r="Z14" s="347"/>
      <c r="AA14" s="349" t="str" cm="1">
        <f t="array" ref="AA14">IFERROR(IF($Y14&lt;&gt;"",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14" s="201"/>
      <c r="AC14" s="105"/>
      <c r="AD14" s="106"/>
      <c r="AE14" s="106"/>
      <c r="AF14" s="354" t="str">
        <f>IFERROR(IF($A14&lt;&gt;"",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14" s="352"/>
      <c r="AH14" s="133" t="str">
        <f>IFERROR(IF($A14&lt;&gt;"",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14" s="352"/>
      <c r="AJ14" s="105"/>
      <c r="AK14" s="354" t="str">
        <f>IFERROR(IF($A14&lt;&gt;"",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14" s="352"/>
      <c r="AM14" s="114"/>
      <c r="AN14" s="107"/>
      <c r="AO14" s="354" t="str">
        <f>IFERROR(IF($A14&lt;&gt;"",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14" s="86"/>
      <c r="AQ14" s="349" t="str">
        <f>IFERROR(IF($A14&lt;&gt;"",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14" s="103"/>
      <c r="AS14" s="202" t="str">
        <f>IF($A14&lt;&gt;"",
IF(Assets!H12&lt;&gt;"",Assets!H12,"Please complete the SSM column in the Asset sheet"),"")</f>
        <v/>
      </c>
      <c r="AT14" s="106"/>
      <c r="AU14" s="354" t="str">
        <f>IFERROR(IF(AND($A14&lt;&gt;"",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14" s="103"/>
      <c r="AW14" s="356" t="str" cm="1">
        <f t="array" ref="AW14">IFERROR(IF(AND($A14&lt;&gt;"",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14" s="93"/>
      <c r="AY14" s="94"/>
      <c r="AZ14" s="94"/>
      <c r="BA14" s="94"/>
      <c r="BB14" s="358"/>
      <c r="BC14" s="356" t="str" cm="1">
        <f t="array" ref="BC14">IFERROR(IF(AND($A14&lt;&gt;"",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14" s="93"/>
      <c r="BE14" s="94"/>
      <c r="BF14" s="94"/>
      <c r="BG14" s="123"/>
      <c r="BH14" s="585" t="str">
        <f>IF($A14&lt;&gt;"",
IF(Assets!I12&lt;&gt;"",Assets!I12,"Please complete the SCM column in the Asset sheet"),"")</f>
        <v/>
      </c>
      <c r="BI14" s="581"/>
      <c r="BJ14" s="387" t="str">
        <f>IFERROR(IF(AND($A14&lt;&gt;"",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14" s="330" t="str" cm="1">
        <f t="array" ref="BK14">IF($A14&lt;&gt;"",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14" s="204" t="str">
        <f>Assets!P12</f>
        <v/>
      </c>
      <c r="BM14" s="205" t="str">
        <f>Assets!Q12</f>
        <v/>
      </c>
      <c r="BN14" s="207"/>
      <c r="BO14" s="389" t="str">
        <f>IF($A14&lt;&gt;"",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14" s="116"/>
      <c r="BQ14" s="389" t="str">
        <f>IFERROR(IF($A14&lt;&gt;"",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14" s="116"/>
      <c r="BS14" s="389" t="str">
        <f>IF($A14&lt;&gt;"",
   IF(EInfo_ACM[[#This Row],[List of network interfaces]]&lt;&gt;"",
   _xlfn.TEXTJOIN(", "&amp;CHAR(10),TRUE, "E.Info.SCM-1.SCM.States", "E.Info.SCM-1.SCM.SecObjectives"), ""), "")</f>
        <v/>
      </c>
      <c r="BT14" s="116"/>
      <c r="BU14" s="391" t="str">
        <f>IFERROR(IF(AND($A14&lt;&gt;"",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14" s="93"/>
      <c r="BW14" s="94"/>
      <c r="BX14" s="94"/>
      <c r="BY14" s="94"/>
      <c r="BZ14" s="358"/>
      <c r="CA14" s="391" t="str">
        <f>IFERROR(IF(AND($A14&lt;&gt;"",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14" s="93"/>
      <c r="CC14" s="94"/>
      <c r="CD14" s="358"/>
      <c r="CE14" s="130" t="str">
        <f>IFERROR(IF(AND($A14&lt;&gt;"",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14" s="93"/>
      <c r="CG14" s="94"/>
      <c r="CH14" s="94"/>
      <c r="CI14" s="358"/>
      <c r="CJ14" s="400"/>
      <c r="CK14" s="394" t="str" cm="1">
        <f t="array" ref="CK14">IFERROR(IF($A14&lt;&gt;"",
     _xlfn.IFS(EInfo_ACM[[#This Row],[E.Info.DT.DLM-1]]="N/A", "N/A", AND(VALUE(RIGHT(EInfo_ACM[[#This Row],[E.Info.DT.DLM-1]]))=1, OR(EInfo_ACM[[#This Row],[Type]]="Privacy", AND(Assets!E12="Sensitive", EInfo_ACM[[#This Row],[Type]]="Security", Assets!D12="Parameter"))), "E.Info.DLM-1.DLM"), ""), "")</f>
        <v/>
      </c>
      <c r="CL14" s="397"/>
      <c r="CM14" s="403"/>
      <c r="CN14" s="142" t="str">
        <f>IFERROR(IF($A14&lt;&gt;"",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14" s="143"/>
      <c r="CP14" s="110" t="str">
        <f>IF($A14&lt;&gt;"",
IF(Assets!J12&lt;&gt;"",Assets!J12,"Please complete the CCK column in the Asset sheet"),"")</f>
        <v/>
      </c>
      <c r="CQ14" s="209"/>
      <c r="CR14" s="404" t="str">
        <f>IFERROR(IF($A14&lt;&gt;"",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14" s="86"/>
      <c r="CT14" s="210"/>
      <c r="CU14" s="404" t="str">
        <f>IFERROR(IF($A14&lt;&gt;"",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14" s="86"/>
      <c r="CW14" s="210"/>
      <c r="CX14" s="330" t="str">
        <f>IFERROR(IF($A14&lt;&gt;"",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14" s="86"/>
      <c r="CZ14" s="14"/>
    </row>
    <row r="15" spans="1:104" x14ac:dyDescent="0.3">
      <c r="A15" s="241" t="str">
        <f>IF(Assets!A13="", "", Assets!A13)</f>
        <v/>
      </c>
      <c r="B15" s="141" t="str">
        <f>IF(Assets!C13="", "", Assets!C13)</f>
        <v/>
      </c>
      <c r="C15" s="191"/>
      <c r="D15" s="330" t="str" cm="1">
        <f t="array" ref="D15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AND(Assets!E13="Sensitive", EInfo_ACM[[#This Row],[Type]]="Security", Assets!D13="Parameter"), "E.Info.DLM-1.SenSecParam"), ""), ""),
          IF(EInfo_ACM[[#This Row],[Type]]="Privacy", "E.Info.UNM-1.PersonalInformation", ""),
          "E.Info.GEC-1."&amp;EInfo_ACM[[#This Row],[Type]]&amp;"Asset"
),""), "")</f>
        <v/>
      </c>
      <c r="E15" s="89" t="str">
        <f>IF(Assets!B13="", "", Assets!B13)</f>
        <v/>
      </c>
      <c r="F15" s="186" t="str">
        <f>IF(EInfo_ACM[[#This Row],[Type]]&lt;&gt;"", _xlfn.TEXTJOIN(", "&amp;CHAR(10), TRUE, "E.Info.ACM-1."&amp;EInfo_ACM[[#This Row],[Type]]&amp;"Asset.Access"), "")</f>
        <v/>
      </c>
      <c r="G15" s="192" t="str">
        <f>IF(EInfo_ACM[[#This Row],[Assets]]&lt;&gt;"", IF(Assets!G13&lt;&gt;"", Assets!G13, "Please complete the Mapping_Asset_Entities tab"), "")</f>
        <v/>
      </c>
      <c r="H15" s="330" t="str" cm="1">
        <f t="array" ref="H15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15" s="52"/>
      <c r="J15" s="120"/>
      <c r="K15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15" s="87"/>
      <c r="M15" s="210"/>
      <c r="N15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15" s="87"/>
      <c r="P15" s="342"/>
      <c r="Q15" s="115"/>
      <c r="R15" s="171"/>
      <c r="S15" s="111"/>
      <c r="T15" s="112"/>
      <c r="U15" s="113"/>
      <c r="V15" s="199"/>
      <c r="W15" s="344" t="str" cm="1">
        <f t="array" ref="W15">IFERROR(IF($Y15&lt;&gt;"",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TRUE)&amp;".ACM."&amp;_xlfn.TEXTSPLIT(Assets!N13, ", "&amp;CHAR(10))&amp;"Interface"), "N/A"), ""), "N/A")</f>
        <v/>
      </c>
      <c r="X15" s="200" t="str">
        <f>IF(EInfo_ACM[[#This Row],[Assets]]&lt;&gt;"", IF(Assets!F13&lt;&gt;"", Assets!F13, "Please complete the Mapping_Asset_Interfaces tab"), "")</f>
        <v/>
      </c>
      <c r="Y15" s="91" t="str">
        <f>Assets!N13</f>
        <v/>
      </c>
      <c r="Z15" s="347"/>
      <c r="AA15" s="349" t="str" cm="1">
        <f t="array" ref="AA15">IFERROR(IF($Y15&lt;&gt;"",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15" s="201"/>
      <c r="AC15" s="105"/>
      <c r="AD15" s="106"/>
      <c r="AE15" s="106"/>
      <c r="AF15" s="354" t="str">
        <f>IFERROR(IF($A15&lt;&gt;"",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15" s="352"/>
      <c r="AH15" s="133" t="str">
        <f>IFERROR(IF($A15&lt;&gt;"",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15" s="352"/>
      <c r="AJ15" s="105"/>
      <c r="AK15" s="354" t="str">
        <f>IFERROR(IF($A15&lt;&gt;"",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15" s="352"/>
      <c r="AM15" s="114"/>
      <c r="AN15" s="107"/>
      <c r="AO15" s="354" t="str">
        <f>IFERROR(IF($A15&lt;&gt;"",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15" s="86"/>
      <c r="AQ15" s="349" t="str">
        <f>IFERROR(IF($A15&lt;&gt;"",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15" s="103"/>
      <c r="AS15" s="202" t="str">
        <f>IF($A15&lt;&gt;"",
IF(Assets!H13&lt;&gt;"",Assets!H13,"Please complete the SSM column in the Asset sheet"),"")</f>
        <v/>
      </c>
      <c r="AT15" s="106"/>
      <c r="AU15" s="354" t="str">
        <f>IFERROR(IF(AND($A15&lt;&gt;"",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15" s="103"/>
      <c r="AW15" s="356" t="str" cm="1">
        <f t="array" ref="AW15">IFERROR(IF(AND($A15&lt;&gt;"",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15" s="93"/>
      <c r="AY15" s="94"/>
      <c r="AZ15" s="94"/>
      <c r="BA15" s="94"/>
      <c r="BB15" s="358"/>
      <c r="BC15" s="356" t="str" cm="1">
        <f t="array" ref="BC15">IFERROR(IF(AND($A15&lt;&gt;"",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15" s="93"/>
      <c r="BE15" s="94"/>
      <c r="BF15" s="94"/>
      <c r="BG15" s="123"/>
      <c r="BH15" s="585" t="str">
        <f>IF($A15&lt;&gt;"",
IF(Assets!I13&lt;&gt;"",Assets!I13,"Please complete the SCM column in the Asset sheet"),"")</f>
        <v/>
      </c>
      <c r="BI15" s="581"/>
      <c r="BJ15" s="387" t="str">
        <f>IFERROR(IF(AND($A15&lt;&gt;"",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15" s="330" t="str" cm="1">
        <f t="array" ref="BK15">IF($A15&lt;&gt;"",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15" s="204" t="str">
        <f>Assets!P13</f>
        <v/>
      </c>
      <c r="BM15" s="205" t="str">
        <f>Assets!Q13</f>
        <v/>
      </c>
      <c r="BN15" s="207"/>
      <c r="BO15" s="389" t="str">
        <f>IF($A15&lt;&gt;"",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15" s="116"/>
      <c r="BQ15" s="389" t="str">
        <f>IFERROR(IF($A15&lt;&gt;"",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15" s="116"/>
      <c r="BS15" s="389" t="str">
        <f>IF($A15&lt;&gt;"",
   IF(EInfo_ACM[[#This Row],[List of network interfaces]]&lt;&gt;"",
   _xlfn.TEXTJOIN(", "&amp;CHAR(10),TRUE, "E.Info.SCM-1.SCM.States", "E.Info.SCM-1.SCM.SecObjectives"), ""), "")</f>
        <v/>
      </c>
      <c r="BT15" s="116"/>
      <c r="BU15" s="391" t="str">
        <f>IFERROR(IF(AND($A15&lt;&gt;"",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15" s="93"/>
      <c r="BW15" s="94"/>
      <c r="BX15" s="94"/>
      <c r="BY15" s="94"/>
      <c r="BZ15" s="358"/>
      <c r="CA15" s="391" t="str">
        <f>IFERROR(IF(AND($A15&lt;&gt;"",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15" s="93"/>
      <c r="CC15" s="94"/>
      <c r="CD15" s="358"/>
      <c r="CE15" s="130" t="str">
        <f>IFERROR(IF(AND($A15&lt;&gt;"",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15" s="93"/>
      <c r="CG15" s="94"/>
      <c r="CH15" s="94"/>
      <c r="CI15" s="358"/>
      <c r="CJ15" s="400"/>
      <c r="CK15" s="394" t="str" cm="1">
        <f t="array" ref="CK15">IFERROR(IF($A15&lt;&gt;"",
     _xlfn.IFS(EInfo_ACM[[#This Row],[E.Info.DT.DLM-1]]="N/A", "N/A", AND(VALUE(RIGHT(EInfo_ACM[[#This Row],[E.Info.DT.DLM-1]]))=1, OR(EInfo_ACM[[#This Row],[Type]]="Privacy", AND(Assets!E13="Sensitive", EInfo_ACM[[#This Row],[Type]]="Security", Assets!D13="Parameter"))), "E.Info.DLM-1.DLM"), ""), "")</f>
        <v/>
      </c>
      <c r="CL15" s="397"/>
      <c r="CM15" s="403"/>
      <c r="CN15" s="142" t="str">
        <f>IFERROR(IF($A15&lt;&gt;"",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15" s="143"/>
      <c r="CP15" s="110" t="str">
        <f>IF($A15&lt;&gt;"",
IF(Assets!J13&lt;&gt;"",Assets!J13,"Please complete the CCK column in the Asset sheet"),"")</f>
        <v/>
      </c>
      <c r="CQ15" s="209"/>
      <c r="CR15" s="404" t="str">
        <f>IFERROR(IF($A15&lt;&gt;"",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15" s="86"/>
      <c r="CT15" s="210"/>
      <c r="CU15" s="404" t="str">
        <f>IFERROR(IF($A15&lt;&gt;"",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15" s="86"/>
      <c r="CW15" s="210"/>
      <c r="CX15" s="330" t="str">
        <f>IFERROR(IF($A15&lt;&gt;"",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15" s="86"/>
      <c r="CZ15" s="14"/>
    </row>
    <row r="16" spans="1:104" x14ac:dyDescent="0.3">
      <c r="A16" s="241" t="str">
        <f>IF(Assets!A14="", "", Assets!A14)</f>
        <v/>
      </c>
      <c r="B16" s="141" t="str">
        <f>IF(Assets!C14="", "", Assets!C14)</f>
        <v/>
      </c>
      <c r="C16" s="191"/>
      <c r="D16" s="330" t="str" cm="1">
        <f t="array" ref="D16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AND(Assets!E14="Sensitive", EInfo_ACM[[#This Row],[Type]]="Security", Assets!D14="Parameter"), "E.Info.DLM-1.SenSecParam"), ""), ""),
          IF(EInfo_ACM[[#This Row],[Type]]="Privacy", "E.Info.UNM-1.PersonalInformation", ""),
          "E.Info.GEC-1."&amp;EInfo_ACM[[#This Row],[Type]]&amp;"Asset"
),""), "")</f>
        <v/>
      </c>
      <c r="E16" s="89" t="str">
        <f>IF(Assets!B14="", "", Assets!B14)</f>
        <v/>
      </c>
      <c r="F16" s="186" t="str">
        <f>IF(EInfo_ACM[[#This Row],[Type]]&lt;&gt;"", _xlfn.TEXTJOIN(", "&amp;CHAR(10), TRUE, "E.Info.ACM-1."&amp;EInfo_ACM[[#This Row],[Type]]&amp;"Asset.Access"), "")</f>
        <v/>
      </c>
      <c r="G16" s="192" t="str">
        <f>IF(EInfo_ACM[[#This Row],[Assets]]&lt;&gt;"", IF(Assets!G14&lt;&gt;"", Assets!G14, "Please complete the Mapping_Asset_Entities tab"), "")</f>
        <v/>
      </c>
      <c r="H16" s="330" t="str" cm="1">
        <f t="array" ref="H16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16" s="52"/>
      <c r="J16" s="120"/>
      <c r="K16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16" s="87"/>
      <c r="M16" s="210"/>
      <c r="N16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16" s="87"/>
      <c r="P16" s="342"/>
      <c r="Q16" s="115"/>
      <c r="R16" s="171"/>
      <c r="S16" s="111"/>
      <c r="T16" s="112"/>
      <c r="U16" s="113"/>
      <c r="V16" s="199"/>
      <c r="W16" s="344" t="str" cm="1">
        <f t="array" ref="W16">IFERROR(IF($Y16&lt;&gt;"",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TRUE)&amp;".ACM."&amp;_xlfn.TEXTSPLIT(Assets!N14, ", "&amp;CHAR(10))&amp;"Interface"), "N/A"), ""), "N/A")</f>
        <v/>
      </c>
      <c r="X16" s="200" t="str">
        <f>IF(EInfo_ACM[[#This Row],[Assets]]&lt;&gt;"", IF(Assets!F14&lt;&gt;"", Assets!F14, "Please complete the Mapping_Asset_Interfaces tab"), "")</f>
        <v/>
      </c>
      <c r="Y16" s="91" t="str">
        <f>Assets!N14</f>
        <v/>
      </c>
      <c r="Z16" s="347"/>
      <c r="AA16" s="349" t="str" cm="1">
        <f t="array" ref="AA16">IFERROR(IF($Y16&lt;&gt;"",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16" s="201"/>
      <c r="AC16" s="105"/>
      <c r="AD16" s="106"/>
      <c r="AE16" s="106"/>
      <c r="AF16" s="354" t="str">
        <f>IFERROR(IF($A16&lt;&gt;"",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16" s="352"/>
      <c r="AH16" s="133" t="str">
        <f>IFERROR(IF($A16&lt;&gt;"",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16" s="352"/>
      <c r="AJ16" s="105"/>
      <c r="AK16" s="354" t="str">
        <f>IFERROR(IF($A16&lt;&gt;"",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16" s="352"/>
      <c r="AM16" s="114"/>
      <c r="AN16" s="107"/>
      <c r="AO16" s="354" t="str">
        <f>IFERROR(IF($A16&lt;&gt;"",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16" s="86"/>
      <c r="AQ16" s="349" t="str">
        <f>IFERROR(IF($A16&lt;&gt;"",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16" s="103"/>
      <c r="AS16" s="202" t="str">
        <f>IF($A16&lt;&gt;"",
IF(Assets!H14&lt;&gt;"",Assets!H14,"Please complete the SSM column in the Asset sheet"),"")</f>
        <v/>
      </c>
      <c r="AT16" s="106"/>
      <c r="AU16" s="354" t="str">
        <f>IFERROR(IF(AND($A16&lt;&gt;"",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16" s="103"/>
      <c r="AW16" s="356" t="str" cm="1">
        <f t="array" ref="AW16">IFERROR(IF(AND($A16&lt;&gt;"",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16" s="93"/>
      <c r="AY16" s="94"/>
      <c r="AZ16" s="94"/>
      <c r="BA16" s="94"/>
      <c r="BB16" s="358"/>
      <c r="BC16" s="356" t="str" cm="1">
        <f t="array" ref="BC16">IFERROR(IF(AND($A16&lt;&gt;"",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16" s="93"/>
      <c r="BE16" s="94"/>
      <c r="BF16" s="94"/>
      <c r="BG16" s="123"/>
      <c r="BH16" s="585" t="str">
        <f>IF($A16&lt;&gt;"",
IF(Assets!I14&lt;&gt;"",Assets!I14,"Please complete the SCM column in the Asset sheet"),"")</f>
        <v/>
      </c>
      <c r="BI16" s="581"/>
      <c r="BJ16" s="387" t="str">
        <f>IFERROR(IF(AND($A16&lt;&gt;"",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16" s="330" t="str" cm="1">
        <f t="array" ref="BK16">IF($A16&lt;&gt;"",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16" s="204" t="str">
        <f>Assets!P14</f>
        <v/>
      </c>
      <c r="BM16" s="205" t="str">
        <f>Assets!Q14</f>
        <v/>
      </c>
      <c r="BN16" s="207"/>
      <c r="BO16" s="389" t="str">
        <f>IF($A16&lt;&gt;"",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16" s="116"/>
      <c r="BQ16" s="389" t="str">
        <f>IFERROR(IF($A16&lt;&gt;"",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16" s="116"/>
      <c r="BS16" s="389" t="str">
        <f>IF($A16&lt;&gt;"",
   IF(EInfo_ACM[[#This Row],[List of network interfaces]]&lt;&gt;"",
   _xlfn.TEXTJOIN(", "&amp;CHAR(10),TRUE, "E.Info.SCM-1.SCM.States", "E.Info.SCM-1.SCM.SecObjectives"), ""), "")</f>
        <v/>
      </c>
      <c r="BT16" s="116"/>
      <c r="BU16" s="391" t="str">
        <f>IFERROR(IF(AND($A16&lt;&gt;"",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16" s="93"/>
      <c r="BW16" s="94"/>
      <c r="BX16" s="94"/>
      <c r="BY16" s="94"/>
      <c r="BZ16" s="358"/>
      <c r="CA16" s="391" t="str">
        <f>IFERROR(IF(AND($A16&lt;&gt;"",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16" s="93"/>
      <c r="CC16" s="94"/>
      <c r="CD16" s="358"/>
      <c r="CE16" s="130" t="str">
        <f>IFERROR(IF(AND($A16&lt;&gt;"",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16" s="93"/>
      <c r="CG16" s="94"/>
      <c r="CH16" s="94"/>
      <c r="CI16" s="358"/>
      <c r="CJ16" s="400"/>
      <c r="CK16" s="394" t="str" cm="1">
        <f t="array" ref="CK16">IFERROR(IF($A16&lt;&gt;"",
     _xlfn.IFS(EInfo_ACM[[#This Row],[E.Info.DT.DLM-1]]="N/A", "N/A", AND(VALUE(RIGHT(EInfo_ACM[[#This Row],[E.Info.DT.DLM-1]]))=1, OR(EInfo_ACM[[#This Row],[Type]]="Privacy", AND(Assets!E14="Sensitive", EInfo_ACM[[#This Row],[Type]]="Security", Assets!D14="Parameter"))), "E.Info.DLM-1.DLM"), ""), "")</f>
        <v/>
      </c>
      <c r="CL16" s="397"/>
      <c r="CM16" s="403"/>
      <c r="CN16" s="142" t="str">
        <f>IFERROR(IF($A16&lt;&gt;"",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16" s="143"/>
      <c r="CP16" s="110" t="str">
        <f>IF($A16&lt;&gt;"",
IF(Assets!J14&lt;&gt;"",Assets!J14,"Please complete the CCK column in the Asset sheet"),"")</f>
        <v/>
      </c>
      <c r="CQ16" s="209"/>
      <c r="CR16" s="404" t="str">
        <f>IFERROR(IF($A16&lt;&gt;"",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16" s="86"/>
      <c r="CT16" s="210"/>
      <c r="CU16" s="404" t="str">
        <f>IFERROR(IF($A16&lt;&gt;"",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16" s="86"/>
      <c r="CW16" s="210"/>
      <c r="CX16" s="330" t="str">
        <f>IFERROR(IF($A16&lt;&gt;"",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16" s="86"/>
      <c r="CZ16" s="14"/>
    </row>
    <row r="17" spans="1:104" x14ac:dyDescent="0.3">
      <c r="A17" s="241" t="str">
        <f>IF(Assets!A15="", "", Assets!A15)</f>
        <v/>
      </c>
      <c r="B17" s="141" t="str">
        <f>IF(Assets!C15="", "", Assets!C15)</f>
        <v/>
      </c>
      <c r="C17" s="191"/>
      <c r="D17" s="330" t="str" cm="1">
        <f t="array" ref="D17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AND(Assets!E15="Sensitive", EInfo_ACM[[#This Row],[Type]]="Security", Assets!D15="Parameter"), "E.Info.DLM-1.SenSecParam"), ""), ""),
          IF(EInfo_ACM[[#This Row],[Type]]="Privacy", "E.Info.UNM-1.PersonalInformation", ""),
          "E.Info.GEC-1."&amp;EInfo_ACM[[#This Row],[Type]]&amp;"Asset"
),""), "")</f>
        <v/>
      </c>
      <c r="E17" s="89" t="str">
        <f>IF(Assets!B15="", "", Assets!B15)</f>
        <v/>
      </c>
      <c r="F17" s="186" t="str">
        <f>IF(EInfo_ACM[[#This Row],[Type]]&lt;&gt;"", _xlfn.TEXTJOIN(", "&amp;CHAR(10), TRUE, "E.Info.ACM-1."&amp;EInfo_ACM[[#This Row],[Type]]&amp;"Asset.Access"), "")</f>
        <v/>
      </c>
      <c r="G17" s="192" t="str">
        <f>IF(EInfo_ACM[[#This Row],[Assets]]&lt;&gt;"", IF(Assets!G15&lt;&gt;"", Assets!G15, "Please complete the Mapping_Asset_Entities tab"), "")</f>
        <v/>
      </c>
      <c r="H17" s="330" t="str" cm="1">
        <f t="array" ref="H17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17" s="52"/>
      <c r="J17" s="120"/>
      <c r="K17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17" s="87"/>
      <c r="M17" s="210"/>
      <c r="N17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17" s="87"/>
      <c r="P17" s="342"/>
      <c r="Q17" s="115"/>
      <c r="R17" s="171"/>
      <c r="S17" s="111"/>
      <c r="T17" s="112"/>
      <c r="U17" s="113"/>
      <c r="V17" s="199"/>
      <c r="W17" s="344" t="str" cm="1">
        <f t="array" ref="W17">IFERROR(IF($Y17&lt;&gt;"",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TRUE)&amp;".ACM."&amp;_xlfn.TEXTSPLIT(Assets!N15, ", "&amp;CHAR(10))&amp;"Interface"), "N/A"), ""), "N/A")</f>
        <v/>
      </c>
      <c r="X17" s="200" t="str">
        <f>IF(EInfo_ACM[[#This Row],[Assets]]&lt;&gt;"", IF(Assets!F15&lt;&gt;"", Assets!F15, "Please complete the Mapping_Asset_Interfaces tab"), "")</f>
        <v/>
      </c>
      <c r="Y17" s="91" t="str">
        <f>Assets!N15</f>
        <v/>
      </c>
      <c r="Z17" s="347"/>
      <c r="AA17" s="349" t="str" cm="1">
        <f t="array" ref="AA17">IFERROR(IF($Y17&lt;&gt;"",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17" s="201"/>
      <c r="AC17" s="105"/>
      <c r="AD17" s="106"/>
      <c r="AE17" s="106"/>
      <c r="AF17" s="354" t="str">
        <f>IFERROR(IF($A17&lt;&gt;"",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17" s="352"/>
      <c r="AH17" s="133" t="str">
        <f>IFERROR(IF($A17&lt;&gt;"",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17" s="352"/>
      <c r="AJ17" s="105"/>
      <c r="AK17" s="354" t="str">
        <f>IFERROR(IF($A17&lt;&gt;"",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17" s="352"/>
      <c r="AM17" s="114"/>
      <c r="AN17" s="107"/>
      <c r="AO17" s="354" t="str">
        <f>IFERROR(IF($A17&lt;&gt;"",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17" s="86"/>
      <c r="AQ17" s="349" t="str">
        <f>IFERROR(IF($A17&lt;&gt;"",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17" s="103"/>
      <c r="AS17" s="202" t="str">
        <f>IF($A17&lt;&gt;"",
IF(Assets!H15&lt;&gt;"",Assets!H15,"Please complete the SSM column in the Asset sheet"),"")</f>
        <v/>
      </c>
      <c r="AT17" s="106"/>
      <c r="AU17" s="354" t="str">
        <f>IFERROR(IF(AND($A17&lt;&gt;"",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17" s="103"/>
      <c r="AW17" s="356" t="str" cm="1">
        <f t="array" ref="AW17">IFERROR(IF(AND($A17&lt;&gt;"",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17" s="93"/>
      <c r="AY17" s="94"/>
      <c r="AZ17" s="94"/>
      <c r="BA17" s="94"/>
      <c r="BB17" s="358"/>
      <c r="BC17" s="356" t="str" cm="1">
        <f t="array" ref="BC17">IFERROR(IF(AND($A17&lt;&gt;"",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17" s="93"/>
      <c r="BE17" s="94"/>
      <c r="BF17" s="94"/>
      <c r="BG17" s="123"/>
      <c r="BH17" s="585" t="str">
        <f>IF($A17&lt;&gt;"",
IF(Assets!I15&lt;&gt;"",Assets!I15,"Please complete the SCM column in the Asset sheet"),"")</f>
        <v/>
      </c>
      <c r="BI17" s="581"/>
      <c r="BJ17" s="387" t="str">
        <f>IFERROR(IF(AND($A17&lt;&gt;"",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17" s="330" t="str" cm="1">
        <f t="array" ref="BK17">IF($A17&lt;&gt;"",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17" s="204" t="str">
        <f>Assets!P15</f>
        <v/>
      </c>
      <c r="BM17" s="205" t="str">
        <f>Assets!Q15</f>
        <v/>
      </c>
      <c r="BN17" s="207"/>
      <c r="BO17" s="389" t="str">
        <f>IF($A17&lt;&gt;"",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17" s="116"/>
      <c r="BQ17" s="389" t="str">
        <f>IFERROR(IF($A17&lt;&gt;"",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17" s="116"/>
      <c r="BS17" s="389" t="str">
        <f>IF($A17&lt;&gt;"",
   IF(EInfo_ACM[[#This Row],[List of network interfaces]]&lt;&gt;"",
   _xlfn.TEXTJOIN(", "&amp;CHAR(10),TRUE, "E.Info.SCM-1.SCM.States", "E.Info.SCM-1.SCM.SecObjectives"), ""), "")</f>
        <v/>
      </c>
      <c r="BT17" s="116"/>
      <c r="BU17" s="391" t="str">
        <f>IFERROR(IF(AND($A17&lt;&gt;"",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17" s="93"/>
      <c r="BW17" s="94"/>
      <c r="BX17" s="94"/>
      <c r="BY17" s="94"/>
      <c r="BZ17" s="358"/>
      <c r="CA17" s="391" t="str">
        <f>IFERROR(IF(AND($A17&lt;&gt;"",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17" s="93"/>
      <c r="CC17" s="94"/>
      <c r="CD17" s="358"/>
      <c r="CE17" s="130" t="str">
        <f>IFERROR(IF(AND($A17&lt;&gt;"",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17" s="93"/>
      <c r="CG17" s="94"/>
      <c r="CH17" s="94"/>
      <c r="CI17" s="358"/>
      <c r="CJ17" s="400"/>
      <c r="CK17" s="394" t="str" cm="1">
        <f t="array" ref="CK17">IFERROR(IF($A17&lt;&gt;"",
     _xlfn.IFS(EInfo_ACM[[#This Row],[E.Info.DT.DLM-1]]="N/A", "N/A", AND(VALUE(RIGHT(EInfo_ACM[[#This Row],[E.Info.DT.DLM-1]]))=1, OR(EInfo_ACM[[#This Row],[Type]]="Privacy", AND(Assets!E15="Sensitive", EInfo_ACM[[#This Row],[Type]]="Security", Assets!D15="Parameter"))), "E.Info.DLM-1.DLM"), ""), "")</f>
        <v/>
      </c>
      <c r="CL17" s="397"/>
      <c r="CM17" s="403"/>
      <c r="CN17" s="142" t="str">
        <f>IFERROR(IF($A17&lt;&gt;"",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17" s="143"/>
      <c r="CP17" s="110" t="str">
        <f>IF($A17&lt;&gt;"",
IF(Assets!J15&lt;&gt;"",Assets!J15,"Please complete the CCK column in the Asset sheet"),"")</f>
        <v/>
      </c>
      <c r="CQ17" s="209"/>
      <c r="CR17" s="404" t="str">
        <f>IFERROR(IF($A17&lt;&gt;"",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17" s="86"/>
      <c r="CT17" s="210"/>
      <c r="CU17" s="404" t="str">
        <f>IFERROR(IF($A17&lt;&gt;"",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17" s="86"/>
      <c r="CW17" s="210"/>
      <c r="CX17" s="330" t="str">
        <f>IFERROR(IF($A17&lt;&gt;"",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17" s="86"/>
      <c r="CZ17" s="14"/>
    </row>
    <row r="18" spans="1:104" x14ac:dyDescent="0.3">
      <c r="A18" s="241" t="str">
        <f>IF(Assets!A16="", "", Assets!A16)</f>
        <v/>
      </c>
      <c r="B18" s="141" t="str">
        <f>IF(Assets!C16="", "", Assets!C16)</f>
        <v/>
      </c>
      <c r="C18" s="191"/>
      <c r="D18" s="330" t="str" cm="1">
        <f t="array" ref="D18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AND(Assets!E16="Sensitive", EInfo_ACM[[#This Row],[Type]]="Security", Assets!D16="Parameter"), "E.Info.DLM-1.SenSecParam"), ""), ""),
          IF(EInfo_ACM[[#This Row],[Type]]="Privacy", "E.Info.UNM-1.PersonalInformation", ""),
          "E.Info.GEC-1."&amp;EInfo_ACM[[#This Row],[Type]]&amp;"Asset"
),""), "")</f>
        <v/>
      </c>
      <c r="E18" s="89" t="str">
        <f>IF(Assets!B16="", "", Assets!B16)</f>
        <v/>
      </c>
      <c r="F18" s="186" t="str">
        <f>IF(EInfo_ACM[[#This Row],[Type]]&lt;&gt;"", _xlfn.TEXTJOIN(", "&amp;CHAR(10), TRUE, "E.Info.ACM-1."&amp;EInfo_ACM[[#This Row],[Type]]&amp;"Asset.Access"), "")</f>
        <v/>
      </c>
      <c r="G18" s="192" t="str">
        <f>IF(EInfo_ACM[[#This Row],[Assets]]&lt;&gt;"", IF(Assets!G16&lt;&gt;"", Assets!G16, "Please complete the Mapping_Asset_Entities tab"), "")</f>
        <v/>
      </c>
      <c r="H18" s="330" t="str" cm="1">
        <f t="array" ref="H18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18" s="52"/>
      <c r="J18" s="120"/>
      <c r="K18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18" s="87"/>
      <c r="M18" s="210"/>
      <c r="N18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18" s="87"/>
      <c r="P18" s="342"/>
      <c r="Q18" s="115"/>
      <c r="R18" s="171"/>
      <c r="S18" s="111"/>
      <c r="T18" s="112"/>
      <c r="U18" s="113"/>
      <c r="V18" s="199"/>
      <c r="W18" s="344" t="str" cm="1">
        <f t="array" ref="W18">IFERROR(IF($Y18&lt;&gt;"",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TRUE)&amp;".ACM."&amp;_xlfn.TEXTSPLIT(Assets!N16, ", "&amp;CHAR(10))&amp;"Interface"), "N/A"), ""), "N/A")</f>
        <v/>
      </c>
      <c r="X18" s="200" t="str">
        <f>IF(EInfo_ACM[[#This Row],[Assets]]&lt;&gt;"", IF(Assets!F16&lt;&gt;"", Assets!F16, "Please complete the Mapping_Asset_Interfaces tab"), "")</f>
        <v/>
      </c>
      <c r="Y18" s="91" t="str">
        <f>Assets!N16</f>
        <v/>
      </c>
      <c r="Z18" s="347"/>
      <c r="AA18" s="349" t="str" cm="1">
        <f t="array" ref="AA18">IFERROR(IF($Y18&lt;&gt;"",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18" s="201"/>
      <c r="AC18" s="105"/>
      <c r="AD18" s="106"/>
      <c r="AE18" s="106"/>
      <c r="AF18" s="354" t="str">
        <f>IFERROR(IF($A18&lt;&gt;"",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18" s="352"/>
      <c r="AH18" s="133" t="str">
        <f>IFERROR(IF($A18&lt;&gt;"",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18" s="352"/>
      <c r="AJ18" s="105"/>
      <c r="AK18" s="354" t="str">
        <f>IFERROR(IF($A18&lt;&gt;"",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18" s="352"/>
      <c r="AM18" s="114"/>
      <c r="AN18" s="107"/>
      <c r="AO18" s="354" t="str">
        <f>IFERROR(IF($A18&lt;&gt;"",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18" s="86"/>
      <c r="AQ18" s="349" t="str">
        <f>IFERROR(IF($A18&lt;&gt;"",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18" s="103"/>
      <c r="AS18" s="202" t="str">
        <f>IF($A18&lt;&gt;"",
IF(Assets!H16&lt;&gt;"",Assets!H16,"Please complete the SSM column in the Asset sheet"),"")</f>
        <v/>
      </c>
      <c r="AT18" s="106"/>
      <c r="AU18" s="354" t="str">
        <f>IFERROR(IF(AND($A18&lt;&gt;"",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18" s="103"/>
      <c r="AW18" s="356" t="str" cm="1">
        <f t="array" ref="AW18">IFERROR(IF(AND($A18&lt;&gt;"",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18" s="93"/>
      <c r="AY18" s="94"/>
      <c r="AZ18" s="94"/>
      <c r="BA18" s="94"/>
      <c r="BB18" s="358"/>
      <c r="BC18" s="356" t="str" cm="1">
        <f t="array" ref="BC18">IFERROR(IF(AND($A18&lt;&gt;"",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18" s="93"/>
      <c r="BE18" s="94"/>
      <c r="BF18" s="94"/>
      <c r="BG18" s="123"/>
      <c r="BH18" s="585" t="str">
        <f>IF($A18&lt;&gt;"",
IF(Assets!I16&lt;&gt;"",Assets!I16,"Please complete the SCM column in the Asset sheet"),"")</f>
        <v/>
      </c>
      <c r="BI18" s="581"/>
      <c r="BJ18" s="387" t="str">
        <f>IFERROR(IF(AND($A18&lt;&gt;"",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18" s="330" t="str" cm="1">
        <f t="array" ref="BK18">IF($A18&lt;&gt;"",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18" s="204" t="str">
        <f>Assets!P16</f>
        <v/>
      </c>
      <c r="BM18" s="205" t="str">
        <f>Assets!Q16</f>
        <v/>
      </c>
      <c r="BN18" s="207"/>
      <c r="BO18" s="389" t="str">
        <f>IF($A18&lt;&gt;"",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18" s="116"/>
      <c r="BQ18" s="389" t="str">
        <f>IFERROR(IF($A18&lt;&gt;"",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18" s="116"/>
      <c r="BS18" s="389" t="str">
        <f>IF($A18&lt;&gt;"",
   IF(EInfo_ACM[[#This Row],[List of network interfaces]]&lt;&gt;"",
   _xlfn.TEXTJOIN(", "&amp;CHAR(10),TRUE, "E.Info.SCM-1.SCM.States", "E.Info.SCM-1.SCM.SecObjectives"), ""), "")</f>
        <v/>
      </c>
      <c r="BT18" s="116"/>
      <c r="BU18" s="391" t="str">
        <f>IFERROR(IF(AND($A18&lt;&gt;"",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18" s="93"/>
      <c r="BW18" s="94"/>
      <c r="BX18" s="94"/>
      <c r="BY18" s="94"/>
      <c r="BZ18" s="358"/>
      <c r="CA18" s="391" t="str">
        <f>IFERROR(IF(AND($A18&lt;&gt;"",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18" s="93"/>
      <c r="CC18" s="94"/>
      <c r="CD18" s="358"/>
      <c r="CE18" s="130" t="str">
        <f>IFERROR(IF(AND($A18&lt;&gt;"",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18" s="93"/>
      <c r="CG18" s="94"/>
      <c r="CH18" s="94"/>
      <c r="CI18" s="358"/>
      <c r="CJ18" s="400"/>
      <c r="CK18" s="394" t="str" cm="1">
        <f t="array" ref="CK18">IFERROR(IF($A18&lt;&gt;"",
     _xlfn.IFS(EInfo_ACM[[#This Row],[E.Info.DT.DLM-1]]="N/A", "N/A", AND(VALUE(RIGHT(EInfo_ACM[[#This Row],[E.Info.DT.DLM-1]]))=1, OR(EInfo_ACM[[#This Row],[Type]]="Privacy", AND(Assets!E16="Sensitive", EInfo_ACM[[#This Row],[Type]]="Security", Assets!D16="Parameter"))), "E.Info.DLM-1.DLM"), ""), "")</f>
        <v/>
      </c>
      <c r="CL18" s="397"/>
      <c r="CM18" s="403"/>
      <c r="CN18" s="142" t="str">
        <f>IFERROR(IF($A18&lt;&gt;"",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18" s="143"/>
      <c r="CP18" s="110" t="str">
        <f>IF($A18&lt;&gt;"",
IF(Assets!J16&lt;&gt;"",Assets!J16,"Please complete the CCK column in the Asset sheet"),"")</f>
        <v/>
      </c>
      <c r="CQ18" s="209"/>
      <c r="CR18" s="404" t="str">
        <f>IFERROR(IF($A18&lt;&gt;"",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18" s="86"/>
      <c r="CT18" s="210"/>
      <c r="CU18" s="404" t="str">
        <f>IFERROR(IF($A18&lt;&gt;"",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18" s="86"/>
      <c r="CW18" s="210"/>
      <c r="CX18" s="330" t="str">
        <f>IFERROR(IF($A18&lt;&gt;"",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18" s="86"/>
      <c r="CZ18" s="14"/>
    </row>
    <row r="19" spans="1:104" x14ac:dyDescent="0.3">
      <c r="A19" s="241" t="str">
        <f>IF(Assets!A17="", "", Assets!A17)</f>
        <v/>
      </c>
      <c r="B19" s="141" t="str">
        <f>IF(Assets!C17="", "", Assets!C17)</f>
        <v/>
      </c>
      <c r="C19" s="191"/>
      <c r="D19" s="330" t="str" cm="1">
        <f t="array" ref="D19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AND(Assets!E17="Sensitive", EInfo_ACM[[#This Row],[Type]]="Security", Assets!D17="Parameter"), "E.Info.DLM-1.SenSecParam"), ""), ""),
          IF(EInfo_ACM[[#This Row],[Type]]="Privacy", "E.Info.UNM-1.PersonalInformation", ""),
          "E.Info.GEC-1."&amp;EInfo_ACM[[#This Row],[Type]]&amp;"Asset"
),""), "")</f>
        <v/>
      </c>
      <c r="E19" s="89" t="str">
        <f>IF(Assets!B17="", "", Assets!B17)</f>
        <v/>
      </c>
      <c r="F19" s="186" t="str">
        <f>IF(EInfo_ACM[[#This Row],[Type]]&lt;&gt;"", _xlfn.TEXTJOIN(", "&amp;CHAR(10), TRUE, "E.Info.ACM-1."&amp;EInfo_ACM[[#This Row],[Type]]&amp;"Asset.Access"), "")</f>
        <v/>
      </c>
      <c r="G19" s="192" t="str">
        <f>IF(EInfo_ACM[[#This Row],[Assets]]&lt;&gt;"", IF(Assets!G17&lt;&gt;"", Assets!G17, "Please complete the Mapping_Asset_Entities tab"), "")</f>
        <v/>
      </c>
      <c r="H19" s="330" t="str" cm="1">
        <f t="array" ref="H19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19" s="52"/>
      <c r="J19" s="120"/>
      <c r="K19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19" s="87"/>
      <c r="M19" s="210"/>
      <c r="N19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19" s="87"/>
      <c r="P19" s="342"/>
      <c r="Q19" s="115"/>
      <c r="R19" s="171"/>
      <c r="S19" s="111"/>
      <c r="T19" s="112"/>
      <c r="U19" s="113"/>
      <c r="V19" s="199"/>
      <c r="W19" s="344" t="str" cm="1">
        <f t="array" ref="W19">IFERROR(IF($Y19&lt;&gt;"",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TRUE)&amp;".ACM."&amp;_xlfn.TEXTSPLIT(Assets!N17, ", "&amp;CHAR(10))&amp;"Interface"), "N/A"), ""), "N/A")</f>
        <v/>
      </c>
      <c r="X19" s="200" t="str">
        <f>IF(EInfo_ACM[[#This Row],[Assets]]&lt;&gt;"", IF(Assets!F17&lt;&gt;"", Assets!F17, "Please complete the Mapping_Asset_Interfaces tab"), "")</f>
        <v/>
      </c>
      <c r="Y19" s="91" t="str">
        <f>Assets!N17</f>
        <v/>
      </c>
      <c r="Z19" s="347"/>
      <c r="AA19" s="349" t="str" cm="1">
        <f t="array" ref="AA19">IFERROR(IF($Y19&lt;&gt;"",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19" s="201"/>
      <c r="AC19" s="105"/>
      <c r="AD19" s="106"/>
      <c r="AE19" s="106"/>
      <c r="AF19" s="354" t="str">
        <f>IFERROR(IF($A19&lt;&gt;"",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19" s="352"/>
      <c r="AH19" s="133" t="str">
        <f>IFERROR(IF($A19&lt;&gt;"",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19" s="352"/>
      <c r="AJ19" s="105"/>
      <c r="AK19" s="354" t="str">
        <f>IFERROR(IF($A19&lt;&gt;"",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19" s="352"/>
      <c r="AM19" s="114"/>
      <c r="AN19" s="107"/>
      <c r="AO19" s="354" t="str">
        <f>IFERROR(IF($A19&lt;&gt;"",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19" s="86"/>
      <c r="AQ19" s="349" t="str">
        <f>IFERROR(IF($A19&lt;&gt;"",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19" s="103"/>
      <c r="AS19" s="202" t="str">
        <f>IF($A19&lt;&gt;"",
IF(Assets!H17&lt;&gt;"",Assets!H17,"Please complete the SSM column in the Asset sheet"),"")</f>
        <v/>
      </c>
      <c r="AT19" s="106"/>
      <c r="AU19" s="354" t="str">
        <f>IFERROR(IF(AND($A19&lt;&gt;"",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19" s="103"/>
      <c r="AW19" s="356" t="str" cm="1">
        <f t="array" ref="AW19">IFERROR(IF(AND($A19&lt;&gt;"",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19" s="93"/>
      <c r="AY19" s="94"/>
      <c r="AZ19" s="94"/>
      <c r="BA19" s="94"/>
      <c r="BB19" s="358"/>
      <c r="BC19" s="356" t="str" cm="1">
        <f t="array" ref="BC19">IFERROR(IF(AND($A19&lt;&gt;"",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19" s="93"/>
      <c r="BE19" s="94"/>
      <c r="BF19" s="94"/>
      <c r="BG19" s="123"/>
      <c r="BH19" s="585" t="str">
        <f>IF($A19&lt;&gt;"",
IF(Assets!I17&lt;&gt;"",Assets!I17,"Please complete the SCM column in the Asset sheet"),"")</f>
        <v/>
      </c>
      <c r="BI19" s="581"/>
      <c r="BJ19" s="387" t="str">
        <f>IFERROR(IF(AND($A19&lt;&gt;"",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19" s="330" t="str" cm="1">
        <f t="array" ref="BK19">IF($A19&lt;&gt;"",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19" s="204" t="str">
        <f>Assets!P17</f>
        <v/>
      </c>
      <c r="BM19" s="205" t="str">
        <f>Assets!Q17</f>
        <v/>
      </c>
      <c r="BN19" s="207"/>
      <c r="BO19" s="389" t="str">
        <f>IF($A19&lt;&gt;"",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19" s="116"/>
      <c r="BQ19" s="389" t="str">
        <f>IFERROR(IF($A19&lt;&gt;"",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19" s="116"/>
      <c r="BS19" s="389" t="str">
        <f>IF($A19&lt;&gt;"",
   IF(EInfo_ACM[[#This Row],[List of network interfaces]]&lt;&gt;"",
   _xlfn.TEXTJOIN(", "&amp;CHAR(10),TRUE, "E.Info.SCM-1.SCM.States", "E.Info.SCM-1.SCM.SecObjectives"), ""), "")</f>
        <v/>
      </c>
      <c r="BT19" s="116"/>
      <c r="BU19" s="391" t="str">
        <f>IFERROR(IF(AND($A19&lt;&gt;"",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19" s="93"/>
      <c r="BW19" s="94"/>
      <c r="BX19" s="94"/>
      <c r="BY19" s="94"/>
      <c r="BZ19" s="358"/>
      <c r="CA19" s="391" t="str">
        <f>IFERROR(IF(AND($A19&lt;&gt;"",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19" s="93"/>
      <c r="CC19" s="94"/>
      <c r="CD19" s="358"/>
      <c r="CE19" s="130" t="str">
        <f>IFERROR(IF(AND($A19&lt;&gt;"",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19" s="93"/>
      <c r="CG19" s="94"/>
      <c r="CH19" s="94"/>
      <c r="CI19" s="358"/>
      <c r="CJ19" s="400"/>
      <c r="CK19" s="394" t="str" cm="1">
        <f t="array" ref="CK19">IFERROR(IF($A19&lt;&gt;"",
     _xlfn.IFS(EInfo_ACM[[#This Row],[E.Info.DT.DLM-1]]="N/A", "N/A", AND(VALUE(RIGHT(EInfo_ACM[[#This Row],[E.Info.DT.DLM-1]]))=1, OR(EInfo_ACM[[#This Row],[Type]]="Privacy", AND(Assets!E17="Sensitive", EInfo_ACM[[#This Row],[Type]]="Security", Assets!D17="Parameter"))), "E.Info.DLM-1.DLM"), ""), "")</f>
        <v/>
      </c>
      <c r="CL19" s="397"/>
      <c r="CM19" s="403"/>
      <c r="CN19" s="142" t="str">
        <f>IFERROR(IF($A19&lt;&gt;"",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19" s="143"/>
      <c r="CP19" s="110" t="str">
        <f>IF($A19&lt;&gt;"",
IF(Assets!J17&lt;&gt;"",Assets!J17,"Please complete the CCK column in the Asset sheet"),"")</f>
        <v/>
      </c>
      <c r="CQ19" s="209"/>
      <c r="CR19" s="404" t="str">
        <f>IFERROR(IF($A19&lt;&gt;"",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19" s="86"/>
      <c r="CT19" s="210"/>
      <c r="CU19" s="404" t="str">
        <f>IFERROR(IF($A19&lt;&gt;"",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19" s="86"/>
      <c r="CW19" s="210"/>
      <c r="CX19" s="330" t="str">
        <f>IFERROR(IF($A19&lt;&gt;"",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19" s="86"/>
      <c r="CZ19" s="14"/>
    </row>
    <row r="20" spans="1:104" x14ac:dyDescent="0.3">
      <c r="A20" s="241" t="str">
        <f>IF(Assets!A18="", "", Assets!A18)</f>
        <v/>
      </c>
      <c r="B20" s="141" t="str">
        <f>IF(Assets!C18="", "", Assets!C18)</f>
        <v/>
      </c>
      <c r="C20" s="191"/>
      <c r="D20" s="330" t="str" cm="1">
        <f t="array" ref="D20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AND(Assets!E18="Sensitive", EInfo_ACM[[#This Row],[Type]]="Security", Assets!D18="Parameter"), "E.Info.DLM-1.SenSecParam"), ""), ""),
          IF(EInfo_ACM[[#This Row],[Type]]="Privacy", "E.Info.UNM-1.PersonalInformation", ""),
          "E.Info.GEC-1."&amp;EInfo_ACM[[#This Row],[Type]]&amp;"Asset"
),""), "")</f>
        <v/>
      </c>
      <c r="E20" s="89" t="str">
        <f>IF(Assets!B18="", "", Assets!B18)</f>
        <v/>
      </c>
      <c r="F20" s="186" t="str">
        <f>IF(EInfo_ACM[[#This Row],[Type]]&lt;&gt;"", _xlfn.TEXTJOIN(", "&amp;CHAR(10), TRUE, "E.Info.ACM-1."&amp;EInfo_ACM[[#This Row],[Type]]&amp;"Asset.Access"), "")</f>
        <v/>
      </c>
      <c r="G20" s="192" t="str">
        <f>IF(EInfo_ACM[[#This Row],[Assets]]&lt;&gt;"", IF(Assets!G18&lt;&gt;"", Assets!G18, "Please complete the Mapping_Asset_Entities tab"), "")</f>
        <v/>
      </c>
      <c r="H20" s="330" t="str" cm="1">
        <f t="array" ref="H20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20" s="52"/>
      <c r="J20" s="120"/>
      <c r="K20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20" s="87"/>
      <c r="M20" s="210"/>
      <c r="N20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20" s="87"/>
      <c r="P20" s="342"/>
      <c r="Q20" s="115"/>
      <c r="R20" s="171"/>
      <c r="S20" s="111"/>
      <c r="T20" s="112"/>
      <c r="U20" s="113"/>
      <c r="V20" s="199"/>
      <c r="W20" s="344" t="str" cm="1">
        <f t="array" ref="W20">IFERROR(IF($Y20&lt;&gt;"",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TRUE)&amp;".ACM."&amp;_xlfn.TEXTSPLIT(Assets!N18, ", "&amp;CHAR(10))&amp;"Interface"), "N/A"), ""), "N/A")</f>
        <v/>
      </c>
      <c r="X20" s="200" t="str">
        <f>IF(EInfo_ACM[[#This Row],[Assets]]&lt;&gt;"", IF(Assets!F18&lt;&gt;"", Assets!F18, "Please complete the Mapping_Asset_Interfaces tab"), "")</f>
        <v/>
      </c>
      <c r="Y20" s="91" t="str">
        <f>Assets!N18</f>
        <v/>
      </c>
      <c r="Z20" s="347"/>
      <c r="AA20" s="349" t="str" cm="1">
        <f t="array" ref="AA20">IFERROR(IF($Y20&lt;&gt;"",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20" s="201"/>
      <c r="AC20" s="105"/>
      <c r="AD20" s="106"/>
      <c r="AE20" s="106"/>
      <c r="AF20" s="354" t="str">
        <f>IFERROR(IF($A20&lt;&gt;"",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20" s="352"/>
      <c r="AH20" s="133" t="str">
        <f>IFERROR(IF($A20&lt;&gt;"",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20" s="352"/>
      <c r="AJ20" s="105"/>
      <c r="AK20" s="354" t="str">
        <f>IFERROR(IF($A20&lt;&gt;"",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20" s="352"/>
      <c r="AM20" s="114"/>
      <c r="AN20" s="107"/>
      <c r="AO20" s="354" t="str">
        <f>IFERROR(IF($A20&lt;&gt;"",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20" s="86"/>
      <c r="AQ20" s="349" t="str">
        <f>IFERROR(IF($A20&lt;&gt;"",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20" s="103"/>
      <c r="AS20" s="202" t="str">
        <f>IF($A20&lt;&gt;"",
IF(Assets!H18&lt;&gt;"",Assets!H18,"Please complete the SSM column in the Asset sheet"),"")</f>
        <v/>
      </c>
      <c r="AT20" s="106"/>
      <c r="AU20" s="354" t="str">
        <f>IFERROR(IF(AND($A20&lt;&gt;"",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20" s="103"/>
      <c r="AW20" s="356" t="str" cm="1">
        <f t="array" ref="AW20">IFERROR(IF(AND($A20&lt;&gt;"",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20" s="93"/>
      <c r="AY20" s="94"/>
      <c r="AZ20" s="94"/>
      <c r="BA20" s="94"/>
      <c r="BB20" s="358"/>
      <c r="BC20" s="356" t="str" cm="1">
        <f t="array" ref="BC20">IFERROR(IF(AND($A20&lt;&gt;"",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20" s="93"/>
      <c r="BE20" s="94"/>
      <c r="BF20" s="94"/>
      <c r="BG20" s="123"/>
      <c r="BH20" s="585" t="str">
        <f>IF($A20&lt;&gt;"",
IF(Assets!I18&lt;&gt;"",Assets!I18,"Please complete the SCM column in the Asset sheet"),"")</f>
        <v/>
      </c>
      <c r="BI20" s="581"/>
      <c r="BJ20" s="387" t="str">
        <f>IFERROR(IF(AND($A20&lt;&gt;"",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20" s="330" t="str" cm="1">
        <f t="array" ref="BK20">IF($A20&lt;&gt;"",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20" s="204" t="str">
        <f>Assets!P18</f>
        <v/>
      </c>
      <c r="BM20" s="205" t="str">
        <f>Assets!Q18</f>
        <v/>
      </c>
      <c r="BN20" s="207"/>
      <c r="BO20" s="389" t="str">
        <f>IF($A20&lt;&gt;"",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20" s="116"/>
      <c r="BQ20" s="389" t="str">
        <f>IFERROR(IF($A20&lt;&gt;"",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20" s="116"/>
      <c r="BS20" s="389" t="str">
        <f>IF($A20&lt;&gt;"",
   IF(EInfo_ACM[[#This Row],[List of network interfaces]]&lt;&gt;"",
   _xlfn.TEXTJOIN(", "&amp;CHAR(10),TRUE, "E.Info.SCM-1.SCM.States", "E.Info.SCM-1.SCM.SecObjectives"), ""), "")</f>
        <v/>
      </c>
      <c r="BT20" s="116"/>
      <c r="BU20" s="391" t="str">
        <f>IFERROR(IF(AND($A20&lt;&gt;"",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20" s="93"/>
      <c r="BW20" s="94"/>
      <c r="BX20" s="94"/>
      <c r="BY20" s="94"/>
      <c r="BZ20" s="358"/>
      <c r="CA20" s="391" t="str">
        <f>IFERROR(IF(AND($A20&lt;&gt;"",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20" s="93"/>
      <c r="CC20" s="94"/>
      <c r="CD20" s="358"/>
      <c r="CE20" s="130" t="str">
        <f>IFERROR(IF(AND($A20&lt;&gt;"",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20" s="93"/>
      <c r="CG20" s="94"/>
      <c r="CH20" s="94"/>
      <c r="CI20" s="358"/>
      <c r="CJ20" s="400"/>
      <c r="CK20" s="394" t="str" cm="1">
        <f t="array" ref="CK20">IFERROR(IF($A20&lt;&gt;"",
     _xlfn.IFS(EInfo_ACM[[#This Row],[E.Info.DT.DLM-1]]="N/A", "N/A", AND(VALUE(RIGHT(EInfo_ACM[[#This Row],[E.Info.DT.DLM-1]]))=1, OR(EInfo_ACM[[#This Row],[Type]]="Privacy", AND(Assets!E18="Sensitive", EInfo_ACM[[#This Row],[Type]]="Security", Assets!D18="Parameter"))), "E.Info.DLM-1.DLM"), ""), "")</f>
        <v/>
      </c>
      <c r="CL20" s="397"/>
      <c r="CM20" s="403"/>
      <c r="CN20" s="142" t="str">
        <f>IFERROR(IF($A20&lt;&gt;"",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20" s="143"/>
      <c r="CP20" s="110" t="str">
        <f>IF($A20&lt;&gt;"",
IF(Assets!J18&lt;&gt;"",Assets!J18,"Please complete the CCK column in the Asset sheet"),"")</f>
        <v/>
      </c>
      <c r="CQ20" s="209"/>
      <c r="CR20" s="404" t="str">
        <f>IFERROR(IF($A20&lt;&gt;"",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20" s="86"/>
      <c r="CT20" s="210"/>
      <c r="CU20" s="404" t="str">
        <f>IFERROR(IF($A20&lt;&gt;"",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20" s="86"/>
      <c r="CW20" s="210"/>
      <c r="CX20" s="330" t="str">
        <f>IFERROR(IF($A20&lt;&gt;"",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20" s="86"/>
      <c r="CZ20" s="14"/>
    </row>
    <row r="21" spans="1:104" x14ac:dyDescent="0.3">
      <c r="A21" s="241" t="str">
        <f>IF(Assets!A19="", "", Assets!A19)</f>
        <v/>
      </c>
      <c r="B21" s="141" t="str">
        <f>IF(Assets!C19="", "", Assets!C19)</f>
        <v/>
      </c>
      <c r="C21" s="191"/>
      <c r="D21" s="330" t="str" cm="1">
        <f t="array" ref="D21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AND(Assets!E19="Sensitive", EInfo_ACM[[#This Row],[Type]]="Security", Assets!D19="Parameter"), "E.Info.DLM-1.SenSecParam"), ""), ""),
          IF(EInfo_ACM[[#This Row],[Type]]="Privacy", "E.Info.UNM-1.PersonalInformation", ""),
          "E.Info.GEC-1."&amp;EInfo_ACM[[#This Row],[Type]]&amp;"Asset"
),""), "")</f>
        <v/>
      </c>
      <c r="E21" s="89" t="str">
        <f>IF(Assets!B19="", "", Assets!B19)</f>
        <v/>
      </c>
      <c r="F21" s="186" t="str">
        <f>IF(EInfo_ACM[[#This Row],[Type]]&lt;&gt;"", _xlfn.TEXTJOIN(", "&amp;CHAR(10), TRUE, "E.Info.ACM-1."&amp;EInfo_ACM[[#This Row],[Type]]&amp;"Asset.Access"), "")</f>
        <v/>
      </c>
      <c r="G21" s="192" t="str">
        <f>IF(EInfo_ACM[[#This Row],[Assets]]&lt;&gt;"", IF(Assets!G19&lt;&gt;"", Assets!G19, "Please complete the Mapping_Asset_Entities tab"), "")</f>
        <v/>
      </c>
      <c r="H21" s="330" t="str" cm="1">
        <f t="array" ref="H21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21" s="52"/>
      <c r="J21" s="120"/>
      <c r="K21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21" s="87"/>
      <c r="M21" s="210"/>
      <c r="N21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21" s="87"/>
      <c r="P21" s="342"/>
      <c r="Q21" s="115"/>
      <c r="R21" s="171"/>
      <c r="S21" s="111"/>
      <c r="T21" s="112"/>
      <c r="U21" s="113"/>
      <c r="V21" s="199"/>
      <c r="W21" s="344" t="str" cm="1">
        <f t="array" ref="W21">IFERROR(IF($Y21&lt;&gt;"",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TRUE)&amp;".ACM."&amp;_xlfn.TEXTSPLIT(Assets!N19, ", "&amp;CHAR(10))&amp;"Interface"), "N/A"), ""), "N/A")</f>
        <v/>
      </c>
      <c r="X21" s="200" t="str">
        <f>IF(EInfo_ACM[[#This Row],[Assets]]&lt;&gt;"", IF(Assets!F19&lt;&gt;"", Assets!F19, "Please complete the Mapping_Asset_Interfaces tab"), "")</f>
        <v/>
      </c>
      <c r="Y21" s="91" t="str">
        <f>Assets!N19</f>
        <v/>
      </c>
      <c r="Z21" s="347"/>
      <c r="AA21" s="349" t="str" cm="1">
        <f t="array" ref="AA21">IFERROR(IF($Y21&lt;&gt;"",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21" s="201"/>
      <c r="AC21" s="105"/>
      <c r="AD21" s="106"/>
      <c r="AE21" s="106"/>
      <c r="AF21" s="354" t="str">
        <f>IFERROR(IF($A21&lt;&gt;"",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21" s="352"/>
      <c r="AH21" s="133" t="str">
        <f>IFERROR(IF($A21&lt;&gt;"",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21" s="352"/>
      <c r="AJ21" s="105"/>
      <c r="AK21" s="354" t="str">
        <f>IFERROR(IF($A21&lt;&gt;"",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21" s="352"/>
      <c r="AM21" s="114"/>
      <c r="AN21" s="107"/>
      <c r="AO21" s="354" t="str">
        <f>IFERROR(IF($A21&lt;&gt;"",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21" s="86"/>
      <c r="AQ21" s="349" t="str">
        <f>IFERROR(IF($A21&lt;&gt;"",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21" s="103"/>
      <c r="AS21" s="202" t="str">
        <f>IF($A21&lt;&gt;"",
IF(Assets!H19&lt;&gt;"",Assets!H19,"Please complete the SSM column in the Asset sheet"),"")</f>
        <v/>
      </c>
      <c r="AT21" s="106"/>
      <c r="AU21" s="354" t="str">
        <f>IFERROR(IF(AND($A21&lt;&gt;"",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21" s="103"/>
      <c r="AW21" s="356" t="str" cm="1">
        <f t="array" ref="AW21">IFERROR(IF(AND($A21&lt;&gt;"",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21" s="93"/>
      <c r="AY21" s="94"/>
      <c r="AZ21" s="94"/>
      <c r="BA21" s="94"/>
      <c r="BB21" s="358"/>
      <c r="BC21" s="356" t="str" cm="1">
        <f t="array" ref="BC21">IFERROR(IF(AND($A21&lt;&gt;"",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21" s="93"/>
      <c r="BE21" s="94"/>
      <c r="BF21" s="94"/>
      <c r="BG21" s="123"/>
      <c r="BH21" s="585" t="str">
        <f>IF($A21&lt;&gt;"",
IF(Assets!I19&lt;&gt;"",Assets!I19,"Please complete the SCM column in the Asset sheet"),"")</f>
        <v/>
      </c>
      <c r="BI21" s="581"/>
      <c r="BJ21" s="387" t="str">
        <f>IFERROR(IF(AND($A21&lt;&gt;"",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21" s="330" t="str" cm="1">
        <f t="array" ref="BK21">IF($A21&lt;&gt;"",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21" s="204" t="str">
        <f>Assets!P19</f>
        <v/>
      </c>
      <c r="BM21" s="205" t="str">
        <f>Assets!Q19</f>
        <v/>
      </c>
      <c r="BN21" s="207"/>
      <c r="BO21" s="389" t="str">
        <f>IF($A21&lt;&gt;"",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21" s="116"/>
      <c r="BQ21" s="389" t="str">
        <f>IFERROR(IF($A21&lt;&gt;"",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21" s="116"/>
      <c r="BS21" s="389" t="str">
        <f>IF($A21&lt;&gt;"",
   IF(EInfo_ACM[[#This Row],[List of network interfaces]]&lt;&gt;"",
   _xlfn.TEXTJOIN(", "&amp;CHAR(10),TRUE, "E.Info.SCM-1.SCM.States", "E.Info.SCM-1.SCM.SecObjectives"), ""), "")</f>
        <v/>
      </c>
      <c r="BT21" s="116"/>
      <c r="BU21" s="391" t="str">
        <f>IFERROR(IF(AND($A21&lt;&gt;"",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21" s="93"/>
      <c r="BW21" s="94"/>
      <c r="BX21" s="94"/>
      <c r="BY21" s="94"/>
      <c r="BZ21" s="358"/>
      <c r="CA21" s="391" t="str">
        <f>IFERROR(IF(AND($A21&lt;&gt;"",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21" s="93"/>
      <c r="CC21" s="94"/>
      <c r="CD21" s="358"/>
      <c r="CE21" s="130" t="str">
        <f>IFERROR(IF(AND($A21&lt;&gt;"",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21" s="93"/>
      <c r="CG21" s="94"/>
      <c r="CH21" s="94"/>
      <c r="CI21" s="358"/>
      <c r="CJ21" s="400"/>
      <c r="CK21" s="394" t="str" cm="1">
        <f t="array" ref="CK21">IFERROR(IF($A21&lt;&gt;"",
     _xlfn.IFS(EInfo_ACM[[#This Row],[E.Info.DT.DLM-1]]="N/A", "N/A", AND(VALUE(RIGHT(EInfo_ACM[[#This Row],[E.Info.DT.DLM-1]]))=1, OR(EInfo_ACM[[#This Row],[Type]]="Privacy", AND(Assets!E19="Sensitive", EInfo_ACM[[#This Row],[Type]]="Security", Assets!D19="Parameter"))), "E.Info.DLM-1.DLM"), ""), "")</f>
        <v/>
      </c>
      <c r="CL21" s="397"/>
      <c r="CM21" s="403"/>
      <c r="CN21" s="142" t="str">
        <f>IFERROR(IF($A21&lt;&gt;"",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21" s="143"/>
      <c r="CP21" s="110" t="str">
        <f>IF($A21&lt;&gt;"",
IF(Assets!J19&lt;&gt;"",Assets!J19,"Please complete the CCK column in the Asset sheet"),"")</f>
        <v/>
      </c>
      <c r="CQ21" s="209"/>
      <c r="CR21" s="404" t="str">
        <f>IFERROR(IF($A21&lt;&gt;"",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21" s="86"/>
      <c r="CT21" s="210"/>
      <c r="CU21" s="404" t="str">
        <f>IFERROR(IF($A21&lt;&gt;"",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21" s="86"/>
      <c r="CW21" s="210"/>
      <c r="CX21" s="330" t="str">
        <f>IFERROR(IF($A21&lt;&gt;"",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21" s="86"/>
      <c r="CZ21" s="14"/>
    </row>
    <row r="22" spans="1:104" x14ac:dyDescent="0.3">
      <c r="A22" s="241" t="str">
        <f>IF(Assets!A20="", "", Assets!A20)</f>
        <v/>
      </c>
      <c r="B22" s="141" t="str">
        <f>IF(Assets!C20="", "", Assets!C20)</f>
        <v/>
      </c>
      <c r="C22" s="191"/>
      <c r="D22" s="330" t="str" cm="1">
        <f t="array" ref="D22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AND(Assets!E20="Sensitive", EInfo_ACM[[#This Row],[Type]]="Security", Assets!D20="Parameter"), "E.Info.DLM-1.SenSecParam"), ""), ""),
          IF(EInfo_ACM[[#This Row],[Type]]="Privacy", "E.Info.UNM-1.PersonalInformation", ""),
          "E.Info.GEC-1."&amp;EInfo_ACM[[#This Row],[Type]]&amp;"Asset"
),""), "")</f>
        <v/>
      </c>
      <c r="E22" s="89" t="str">
        <f>IF(Assets!B20="", "", Assets!B20)</f>
        <v/>
      </c>
      <c r="F22" s="186" t="str">
        <f>IF(EInfo_ACM[[#This Row],[Type]]&lt;&gt;"", _xlfn.TEXTJOIN(", "&amp;CHAR(10), TRUE, "E.Info.ACM-1."&amp;EInfo_ACM[[#This Row],[Type]]&amp;"Asset.Access"), "")</f>
        <v/>
      </c>
      <c r="G22" s="192" t="str">
        <f>IF(EInfo_ACM[[#This Row],[Assets]]&lt;&gt;"", IF(Assets!G20&lt;&gt;"", Assets!G20, "Please complete the Mapping_Asset_Entities tab"), "")</f>
        <v/>
      </c>
      <c r="H22" s="330" t="str" cm="1">
        <f t="array" ref="H22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22" s="52"/>
      <c r="J22" s="120"/>
      <c r="K22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22" s="87"/>
      <c r="M22" s="210"/>
      <c r="N22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22" s="87"/>
      <c r="P22" s="342"/>
      <c r="Q22" s="115"/>
      <c r="R22" s="171"/>
      <c r="S22" s="111"/>
      <c r="T22" s="112"/>
      <c r="U22" s="113"/>
      <c r="V22" s="199"/>
      <c r="W22" s="344" t="str" cm="1">
        <f t="array" ref="W22">IFERROR(IF($Y22&lt;&gt;"",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TRUE)&amp;".ACM."&amp;_xlfn.TEXTSPLIT(Assets!N20, ", "&amp;CHAR(10))&amp;"Interface"), "N/A"), ""), "N/A")</f>
        <v/>
      </c>
      <c r="X22" s="200" t="str">
        <f>IF(EInfo_ACM[[#This Row],[Assets]]&lt;&gt;"", IF(Assets!F20&lt;&gt;"", Assets!F20, "Please complete the Mapping_Asset_Interfaces tab"), "")</f>
        <v/>
      </c>
      <c r="Y22" s="91" t="str">
        <f>Assets!N20</f>
        <v/>
      </c>
      <c r="Z22" s="347"/>
      <c r="AA22" s="349" t="str" cm="1">
        <f t="array" ref="AA22">IFERROR(IF($Y22&lt;&gt;"",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22" s="201"/>
      <c r="AC22" s="105"/>
      <c r="AD22" s="106"/>
      <c r="AE22" s="106"/>
      <c r="AF22" s="354" t="str">
        <f>IFERROR(IF($A22&lt;&gt;"",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22" s="352"/>
      <c r="AH22" s="133" t="str">
        <f>IFERROR(IF($A22&lt;&gt;"",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22" s="352"/>
      <c r="AJ22" s="105"/>
      <c r="AK22" s="354" t="str">
        <f>IFERROR(IF($A22&lt;&gt;"",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22" s="352"/>
      <c r="AM22" s="114"/>
      <c r="AN22" s="107"/>
      <c r="AO22" s="354" t="str">
        <f>IFERROR(IF($A22&lt;&gt;"",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22" s="86"/>
      <c r="AQ22" s="349" t="str">
        <f>IFERROR(IF($A22&lt;&gt;"",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22" s="103"/>
      <c r="AS22" s="202" t="str">
        <f>IF($A22&lt;&gt;"",
IF(Assets!H20&lt;&gt;"",Assets!H20,"Please complete the SSM column in the Asset sheet"),"")</f>
        <v/>
      </c>
      <c r="AT22" s="106"/>
      <c r="AU22" s="354" t="str">
        <f>IFERROR(IF(AND($A22&lt;&gt;"",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22" s="103"/>
      <c r="AW22" s="356" t="str" cm="1">
        <f t="array" ref="AW22">IFERROR(IF(AND($A22&lt;&gt;"",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22" s="93"/>
      <c r="AY22" s="94"/>
      <c r="AZ22" s="94"/>
      <c r="BA22" s="94"/>
      <c r="BB22" s="358"/>
      <c r="BC22" s="356" t="str" cm="1">
        <f t="array" ref="BC22">IFERROR(IF(AND($A22&lt;&gt;"",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22" s="93"/>
      <c r="BE22" s="94"/>
      <c r="BF22" s="94"/>
      <c r="BG22" s="123"/>
      <c r="BH22" s="585" t="str">
        <f>IF($A22&lt;&gt;"",
IF(Assets!I20&lt;&gt;"",Assets!I20,"Please complete the SCM column in the Asset sheet"),"")</f>
        <v/>
      </c>
      <c r="BI22" s="581"/>
      <c r="BJ22" s="387" t="str">
        <f>IFERROR(IF(AND($A22&lt;&gt;"",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22" s="330" t="str" cm="1">
        <f t="array" ref="BK22">IF($A22&lt;&gt;"",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22" s="204" t="str">
        <f>Assets!P20</f>
        <v/>
      </c>
      <c r="BM22" s="205" t="str">
        <f>Assets!Q20</f>
        <v/>
      </c>
      <c r="BN22" s="207"/>
      <c r="BO22" s="389" t="str">
        <f>IF($A22&lt;&gt;"",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22" s="116"/>
      <c r="BQ22" s="389" t="str">
        <f>IFERROR(IF($A22&lt;&gt;"",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22" s="116"/>
      <c r="BS22" s="389" t="str">
        <f>IF($A22&lt;&gt;"",
   IF(EInfo_ACM[[#This Row],[List of network interfaces]]&lt;&gt;"",
   _xlfn.TEXTJOIN(", "&amp;CHAR(10),TRUE, "E.Info.SCM-1.SCM.States", "E.Info.SCM-1.SCM.SecObjectives"), ""), "")</f>
        <v/>
      </c>
      <c r="BT22" s="116"/>
      <c r="BU22" s="391" t="str">
        <f>IFERROR(IF(AND($A22&lt;&gt;"",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22" s="93"/>
      <c r="BW22" s="94"/>
      <c r="BX22" s="94"/>
      <c r="BY22" s="94"/>
      <c r="BZ22" s="358"/>
      <c r="CA22" s="391" t="str">
        <f>IFERROR(IF(AND($A22&lt;&gt;"",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22" s="93"/>
      <c r="CC22" s="94"/>
      <c r="CD22" s="358"/>
      <c r="CE22" s="130" t="str">
        <f>IFERROR(IF(AND($A22&lt;&gt;"",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22" s="93"/>
      <c r="CG22" s="94"/>
      <c r="CH22" s="94"/>
      <c r="CI22" s="358"/>
      <c r="CJ22" s="400"/>
      <c r="CK22" s="394" t="str" cm="1">
        <f t="array" ref="CK22">IFERROR(IF($A22&lt;&gt;"",
     _xlfn.IFS(EInfo_ACM[[#This Row],[E.Info.DT.DLM-1]]="N/A", "N/A", AND(VALUE(RIGHT(EInfo_ACM[[#This Row],[E.Info.DT.DLM-1]]))=1, OR(EInfo_ACM[[#This Row],[Type]]="Privacy", AND(Assets!E20="Sensitive", EInfo_ACM[[#This Row],[Type]]="Security", Assets!D20="Parameter"))), "E.Info.DLM-1.DLM"), ""), "")</f>
        <v/>
      </c>
      <c r="CL22" s="397"/>
      <c r="CM22" s="403"/>
      <c r="CN22" s="142" t="str">
        <f>IFERROR(IF($A22&lt;&gt;"",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22" s="143"/>
      <c r="CP22" s="110" t="str">
        <f>IF($A22&lt;&gt;"",
IF(Assets!J20&lt;&gt;"",Assets!J20,"Please complete the CCK column in the Asset sheet"),"")</f>
        <v/>
      </c>
      <c r="CQ22" s="209"/>
      <c r="CR22" s="404" t="str">
        <f>IFERROR(IF($A22&lt;&gt;"",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22" s="86"/>
      <c r="CT22" s="210"/>
      <c r="CU22" s="404" t="str">
        <f>IFERROR(IF($A22&lt;&gt;"",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22" s="86"/>
      <c r="CW22" s="210"/>
      <c r="CX22" s="330" t="str">
        <f>IFERROR(IF($A22&lt;&gt;"",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22" s="86"/>
      <c r="CZ22" s="14"/>
    </row>
    <row r="23" spans="1:104" x14ac:dyDescent="0.3">
      <c r="A23" s="241" t="str">
        <f>IF(Assets!A21="", "", Assets!A21)</f>
        <v/>
      </c>
      <c r="B23" s="141" t="str">
        <f>IF(Assets!C21="", "", Assets!C21)</f>
        <v/>
      </c>
      <c r="C23" s="191"/>
      <c r="D23" s="330" t="str" cm="1">
        <f t="array" ref="D23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AND(Assets!E21="Sensitive", EInfo_ACM[[#This Row],[Type]]="Security", Assets!D21="Parameter"), "E.Info.DLM-1.SenSecParam"), ""), ""),
          IF(EInfo_ACM[[#This Row],[Type]]="Privacy", "E.Info.UNM-1.PersonalInformation", ""),
          "E.Info.GEC-1."&amp;EInfo_ACM[[#This Row],[Type]]&amp;"Asset"
),""), "")</f>
        <v/>
      </c>
      <c r="E23" s="89" t="str">
        <f>IF(Assets!B21="", "", Assets!B21)</f>
        <v/>
      </c>
      <c r="F23" s="186" t="str">
        <f>IF(EInfo_ACM[[#This Row],[Type]]&lt;&gt;"", _xlfn.TEXTJOIN(", "&amp;CHAR(10), TRUE, "E.Info.ACM-1."&amp;EInfo_ACM[[#This Row],[Type]]&amp;"Asset.Access"), "")</f>
        <v/>
      </c>
      <c r="G23" s="192" t="str">
        <f>IF(EInfo_ACM[[#This Row],[Assets]]&lt;&gt;"", IF(Assets!G21&lt;&gt;"", Assets!G21, "Please complete the Mapping_Asset_Entities tab"), "")</f>
        <v/>
      </c>
      <c r="H23" s="330" t="str" cm="1">
        <f t="array" ref="H23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23" s="52"/>
      <c r="J23" s="120"/>
      <c r="K23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23" s="87"/>
      <c r="M23" s="210"/>
      <c r="N23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23" s="87"/>
      <c r="P23" s="342"/>
      <c r="Q23" s="115"/>
      <c r="R23" s="171"/>
      <c r="S23" s="111"/>
      <c r="T23" s="112"/>
      <c r="U23" s="113"/>
      <c r="V23" s="113"/>
      <c r="W23" s="344" t="str" cm="1">
        <f t="array" ref="W23">IFERROR(IF($Y23&lt;&gt;"",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TRUE)&amp;".ACM."&amp;_xlfn.TEXTSPLIT(Assets!N21, ", "&amp;CHAR(10))&amp;"Interface"), "N/A"), ""), "N/A")</f>
        <v/>
      </c>
      <c r="X23" s="200" t="str">
        <f>IF(EInfo_ACM[[#This Row],[Assets]]&lt;&gt;"", IF(Assets!F21&lt;&gt;"", Assets!F21, "Please complete the Mapping_Asset_Interfaces tab"), "")</f>
        <v/>
      </c>
      <c r="Y23" s="91" t="str">
        <f>Assets!N21</f>
        <v/>
      </c>
      <c r="Z23" s="347"/>
      <c r="AA23" s="349" t="str" cm="1">
        <f t="array" ref="AA23">IFERROR(IF($Y23&lt;&gt;"",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23" s="201"/>
      <c r="AC23" s="105"/>
      <c r="AD23" s="106"/>
      <c r="AE23" s="106"/>
      <c r="AF23" s="354" t="str">
        <f>IFERROR(IF($A23&lt;&gt;"",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23" s="352"/>
      <c r="AH23" s="133" t="str">
        <f>IFERROR(IF($A23&lt;&gt;"",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23" s="352"/>
      <c r="AJ23" s="105"/>
      <c r="AK23" s="354" t="str">
        <f>IFERROR(IF($A23&lt;&gt;"",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23" s="352"/>
      <c r="AM23" s="114"/>
      <c r="AN23" s="107"/>
      <c r="AO23" s="354" t="str">
        <f>IFERROR(IF($A23&lt;&gt;"",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23" s="86"/>
      <c r="AQ23" s="349" t="str">
        <f>IFERROR(IF($A23&lt;&gt;"",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23" s="103"/>
      <c r="AS23" s="202" t="str">
        <f>IF($A23&lt;&gt;"",
IF(Assets!H21&lt;&gt;"",Assets!H21,"Please complete the SSM column in the Asset sheet"),"")</f>
        <v/>
      </c>
      <c r="AT23" s="106"/>
      <c r="AU23" s="354" t="str">
        <f>IFERROR(IF(AND($A23&lt;&gt;"",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23" s="103"/>
      <c r="AW23" s="356" t="str" cm="1">
        <f t="array" ref="AW23">IFERROR(IF(AND($A23&lt;&gt;"",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23" s="93"/>
      <c r="AY23" s="94"/>
      <c r="AZ23" s="94"/>
      <c r="BA23" s="94"/>
      <c r="BB23" s="358"/>
      <c r="BC23" s="356" t="str" cm="1">
        <f t="array" ref="BC23">IFERROR(IF(AND($A23&lt;&gt;"",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23" s="93"/>
      <c r="BE23" s="94"/>
      <c r="BF23" s="94"/>
      <c r="BG23" s="123"/>
      <c r="BH23" s="585" t="str">
        <f>IF($A23&lt;&gt;"",
IF(Assets!I21&lt;&gt;"",Assets!I21,"Please complete the SCM column in the Asset sheet"),"")</f>
        <v/>
      </c>
      <c r="BI23" s="581"/>
      <c r="BJ23" s="387" t="str">
        <f>IFERROR(IF(AND($A23&lt;&gt;"",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23" s="330" t="str" cm="1">
        <f t="array" ref="BK23">IF($A23&lt;&gt;"",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23" s="204" t="str">
        <f>Assets!P21</f>
        <v/>
      </c>
      <c r="BM23" s="205" t="str">
        <f>Assets!Q21</f>
        <v/>
      </c>
      <c r="BN23" s="207"/>
      <c r="BO23" s="389" t="str">
        <f>IF($A23&lt;&gt;"",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23" s="116"/>
      <c r="BQ23" s="389" t="str">
        <f>IFERROR(IF($A23&lt;&gt;"",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23" s="116"/>
      <c r="BS23" s="389" t="str">
        <f>IF($A23&lt;&gt;"",
   IF(EInfo_ACM[[#This Row],[List of network interfaces]]&lt;&gt;"",
   _xlfn.TEXTJOIN(", "&amp;CHAR(10),TRUE, "E.Info.SCM-1.SCM.States", "E.Info.SCM-1.SCM.SecObjectives"), ""), "")</f>
        <v/>
      </c>
      <c r="BT23" s="116"/>
      <c r="BU23" s="391" t="str">
        <f>IFERROR(IF(AND($A23&lt;&gt;"",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23" s="93"/>
      <c r="BW23" s="94"/>
      <c r="BX23" s="94"/>
      <c r="BY23" s="94"/>
      <c r="BZ23" s="358"/>
      <c r="CA23" s="391" t="str">
        <f>IFERROR(IF(AND($A23&lt;&gt;"",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23" s="93"/>
      <c r="CC23" s="94"/>
      <c r="CD23" s="358"/>
      <c r="CE23" s="130" t="str">
        <f>IFERROR(IF(AND($A23&lt;&gt;"",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23" s="93"/>
      <c r="CG23" s="94"/>
      <c r="CH23" s="94"/>
      <c r="CI23" s="358"/>
      <c r="CJ23" s="401"/>
      <c r="CK23" s="394" t="str" cm="1">
        <f t="array" ref="CK23">IFERROR(IF($A23&lt;&gt;"",
     _xlfn.IFS(EInfo_ACM[[#This Row],[E.Info.DT.DLM-1]]="N/A", "N/A", AND(VALUE(RIGHT(EInfo_ACM[[#This Row],[E.Info.DT.DLM-1]]))=1, OR(EInfo_ACM[[#This Row],[Type]]="Privacy", AND(Assets!E21="Sensitive", EInfo_ACM[[#This Row],[Type]]="Security", Assets!D21="Parameter"))), "E.Info.DLM-1.DLM"), ""), "")</f>
        <v/>
      </c>
      <c r="CL23" s="397"/>
      <c r="CM23" s="120"/>
      <c r="CN23" s="142" t="str">
        <f>IFERROR(IF($A23&lt;&gt;"",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23" s="143"/>
      <c r="CP23" s="110" t="str">
        <f>IF($A23&lt;&gt;"",
IF(Assets!J21&lt;&gt;"",Assets!J21,"Please complete the CCK column in the Asset sheet"),"")</f>
        <v/>
      </c>
      <c r="CQ23" s="209"/>
      <c r="CR23" s="404" t="str">
        <f>IFERROR(IF($A23&lt;&gt;"",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23" s="86"/>
      <c r="CT23" s="210"/>
      <c r="CU23" s="404" t="str">
        <f>IFERROR(IF($A23&lt;&gt;"",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23" s="86"/>
      <c r="CW23" s="210"/>
      <c r="CX23" s="330" t="str">
        <f>IFERROR(IF($A23&lt;&gt;"",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23" s="86"/>
      <c r="CZ23" s="14"/>
    </row>
    <row r="24" spans="1:104" x14ac:dyDescent="0.3">
      <c r="A24" s="241" t="str">
        <f>IF(Assets!A22="", "", Assets!A22)</f>
        <v/>
      </c>
      <c r="B24" s="141" t="str">
        <f>IF(Assets!C22="", "", Assets!C22)</f>
        <v/>
      </c>
      <c r="C24" s="191"/>
      <c r="D24" s="330" t="str" cm="1">
        <f t="array" ref="D24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AND(Assets!E22="Sensitive", EInfo_ACM[[#This Row],[Type]]="Security", Assets!D22="Parameter"), "E.Info.DLM-1.SenSecParam"), ""), ""),
          IF(EInfo_ACM[[#This Row],[Type]]="Privacy", "E.Info.UNM-1.PersonalInformation", ""),
          "E.Info.GEC-1."&amp;EInfo_ACM[[#This Row],[Type]]&amp;"Asset"
),""), "")</f>
        <v/>
      </c>
      <c r="E24" s="89" t="str">
        <f>IF(Assets!B22="", "", Assets!B22)</f>
        <v/>
      </c>
      <c r="F24" s="186" t="str">
        <f>IF(EInfo_ACM[[#This Row],[Type]]&lt;&gt;"", _xlfn.TEXTJOIN(", "&amp;CHAR(10), TRUE, "E.Info.ACM-1."&amp;EInfo_ACM[[#This Row],[Type]]&amp;"Asset.Access"), "")</f>
        <v/>
      </c>
      <c r="G24" s="192" t="str">
        <f>IF(EInfo_ACM[[#This Row],[Assets]]&lt;&gt;"", IF(Assets!G22&lt;&gt;"", Assets!G22, "Please complete the Mapping_Asset_Entities tab"), "")</f>
        <v/>
      </c>
      <c r="H24" s="330" t="str" cm="1">
        <f t="array" ref="H24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24" s="52"/>
      <c r="J24" s="120"/>
      <c r="K24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24" s="87"/>
      <c r="M24" s="210"/>
      <c r="N24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24" s="87"/>
      <c r="P24" s="342"/>
      <c r="Q24" s="115"/>
      <c r="R24" s="171"/>
      <c r="S24" s="111"/>
      <c r="T24" s="112"/>
      <c r="U24" s="113"/>
      <c r="V24" s="113"/>
      <c r="W24" s="344" t="str" cm="1">
        <f t="array" ref="W24">IFERROR(IF($Y24&lt;&gt;"",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TRUE)&amp;".ACM."&amp;_xlfn.TEXTSPLIT(Assets!N22, ", "&amp;CHAR(10))&amp;"Interface"), "N/A"), ""), "N/A")</f>
        <v/>
      </c>
      <c r="X24" s="200" t="str">
        <f>IF(EInfo_ACM[[#This Row],[Assets]]&lt;&gt;"", IF(Assets!F22&lt;&gt;"", Assets!F22, "Please complete the Mapping_Asset_Interfaces tab"), "")</f>
        <v/>
      </c>
      <c r="Y24" s="91" t="str">
        <f>Assets!N22</f>
        <v/>
      </c>
      <c r="Z24" s="347"/>
      <c r="AA24" s="349" t="str" cm="1">
        <f t="array" ref="AA24">IFERROR(IF($Y24&lt;&gt;"",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24" s="201"/>
      <c r="AC24" s="105"/>
      <c r="AD24" s="106"/>
      <c r="AE24" s="106"/>
      <c r="AF24" s="354" t="str">
        <f>IFERROR(IF($A24&lt;&gt;"",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24" s="352"/>
      <c r="AH24" s="133" t="str">
        <f>IFERROR(IF($A24&lt;&gt;"",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24" s="352"/>
      <c r="AJ24" s="105"/>
      <c r="AK24" s="354" t="str">
        <f>IFERROR(IF($A24&lt;&gt;"",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24" s="352"/>
      <c r="AM24" s="114"/>
      <c r="AN24" s="107"/>
      <c r="AO24" s="354" t="str">
        <f>IFERROR(IF($A24&lt;&gt;"",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24" s="86"/>
      <c r="AQ24" s="349" t="str">
        <f>IFERROR(IF($A24&lt;&gt;"",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24" s="87"/>
      <c r="AS24" s="202" t="str">
        <f>IF($A24&lt;&gt;"",
IF(Assets!H22&lt;&gt;"",Assets!H22,"Please complete the SSM column in the Asset sheet"),"")</f>
        <v/>
      </c>
      <c r="AT24" s="106"/>
      <c r="AU24" s="354" t="str">
        <f>IFERROR(IF(AND($A24&lt;&gt;"",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24" s="87"/>
      <c r="AW24" s="356" t="str" cm="1">
        <f t="array" ref="AW24">IFERROR(IF(AND($A24&lt;&gt;"",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24" s="93"/>
      <c r="AY24" s="94"/>
      <c r="AZ24" s="94"/>
      <c r="BA24" s="94"/>
      <c r="BB24" s="358"/>
      <c r="BC24" s="356" t="str" cm="1">
        <f t="array" ref="BC24">IFERROR(IF(AND($A24&lt;&gt;"",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24" s="93"/>
      <c r="BE24" s="94"/>
      <c r="BF24" s="94"/>
      <c r="BG24" s="123"/>
      <c r="BH24" s="585" t="str">
        <f>IF($A24&lt;&gt;"",
IF(Assets!I22&lt;&gt;"",Assets!I22,"Please complete the SCM column in the Asset sheet"),"")</f>
        <v/>
      </c>
      <c r="BI24" s="581"/>
      <c r="BJ24" s="387" t="str">
        <f>IFERROR(IF(AND($A24&lt;&gt;"",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24" s="330" t="str" cm="1">
        <f t="array" ref="BK24">IF($A24&lt;&gt;"",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24" s="204" t="str">
        <f>Assets!P22</f>
        <v/>
      </c>
      <c r="BM24" s="205" t="str">
        <f>Assets!Q22</f>
        <v/>
      </c>
      <c r="BN24" s="161"/>
      <c r="BO24" s="389" t="str">
        <f>IF($A24&lt;&gt;"",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24" s="86"/>
      <c r="BQ24" s="389" t="str">
        <f>IFERROR(IF($A24&lt;&gt;"",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24" s="86"/>
      <c r="BS24" s="389" t="str">
        <f>IF($A24&lt;&gt;"",
   IF(EInfo_ACM[[#This Row],[List of network interfaces]]&lt;&gt;"",
   _xlfn.TEXTJOIN(", "&amp;CHAR(10),TRUE, "E.Info.SCM-1.SCM.States", "E.Info.SCM-1.SCM.SecObjectives"), ""), "")</f>
        <v/>
      </c>
      <c r="BT24" s="86"/>
      <c r="BU24" s="391" t="str">
        <f>IFERROR(IF(AND($A24&lt;&gt;"",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24" s="93"/>
      <c r="BW24" s="94"/>
      <c r="BX24" s="94"/>
      <c r="BY24" s="94"/>
      <c r="BZ24" s="358"/>
      <c r="CA24" s="391" t="str">
        <f>IFERROR(IF(AND($A24&lt;&gt;"",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24" s="93"/>
      <c r="CC24" s="94"/>
      <c r="CD24" s="358"/>
      <c r="CE24" s="130" t="str">
        <f>IFERROR(IF(AND($A24&lt;&gt;"",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24" s="93"/>
      <c r="CG24" s="94"/>
      <c r="CH24" s="94"/>
      <c r="CI24" s="358"/>
      <c r="CJ24" s="401"/>
      <c r="CK24" s="394" t="str" cm="1">
        <f t="array" ref="CK24">IFERROR(IF($A24&lt;&gt;"",
     _xlfn.IFS(EInfo_ACM[[#This Row],[E.Info.DT.DLM-1]]="N/A", "N/A", AND(VALUE(RIGHT(EInfo_ACM[[#This Row],[E.Info.DT.DLM-1]]))=1, OR(EInfo_ACM[[#This Row],[Type]]="Privacy", AND(Assets!E22="Sensitive", EInfo_ACM[[#This Row],[Type]]="Security", Assets!D22="Parameter"))), "E.Info.DLM-1.DLM"), ""), "")</f>
        <v/>
      </c>
      <c r="CL24" s="397"/>
      <c r="CM24" s="120"/>
      <c r="CN24" s="142" t="str">
        <f>IFERROR(IF($A24&lt;&gt;"",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24" s="143"/>
      <c r="CP24" s="110" t="str">
        <f>IF($A24&lt;&gt;"",
IF(Assets!J22&lt;&gt;"",Assets!J22,"Please complete the CCK column in the Asset sheet"),"")</f>
        <v/>
      </c>
      <c r="CQ24" s="209"/>
      <c r="CR24" s="404" t="str">
        <f>IFERROR(IF($A24&lt;&gt;"",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24" s="86"/>
      <c r="CT24" s="210"/>
      <c r="CU24" s="404" t="str">
        <f>IFERROR(IF($A24&lt;&gt;"",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24" s="86"/>
      <c r="CW24" s="210"/>
      <c r="CX24" s="330" t="str">
        <f>IFERROR(IF($A24&lt;&gt;"",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24" s="86"/>
      <c r="CZ24" s="14"/>
    </row>
    <row r="25" spans="1:104" x14ac:dyDescent="0.3">
      <c r="A25" s="241" t="str">
        <f>IF(Assets!A23="", "", Assets!A23)</f>
        <v/>
      </c>
      <c r="B25" s="141" t="str">
        <f>IF(Assets!C23="", "", Assets!C23)</f>
        <v/>
      </c>
      <c r="C25" s="191"/>
      <c r="D25" s="330" t="str" cm="1">
        <f t="array" ref="D25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AND(Assets!E23="Sensitive", EInfo_ACM[[#This Row],[Type]]="Security", Assets!D23="Parameter"), "E.Info.DLM-1.SenSecParam"), ""), ""),
          IF(EInfo_ACM[[#This Row],[Type]]="Privacy", "E.Info.UNM-1.PersonalInformation", ""),
          "E.Info.GEC-1."&amp;EInfo_ACM[[#This Row],[Type]]&amp;"Asset"
),""), "")</f>
        <v/>
      </c>
      <c r="E25" s="89" t="str">
        <f>IF(Assets!B23="", "", Assets!B23)</f>
        <v/>
      </c>
      <c r="F25" s="186" t="str">
        <f>IF(EInfo_ACM[[#This Row],[Type]]&lt;&gt;"", _xlfn.TEXTJOIN(", "&amp;CHAR(10), TRUE, "E.Info.ACM-1."&amp;EInfo_ACM[[#This Row],[Type]]&amp;"Asset.Access"), "")</f>
        <v/>
      </c>
      <c r="G25" s="192" t="str">
        <f>IF(EInfo_ACM[[#This Row],[Assets]]&lt;&gt;"", IF(Assets!G23&lt;&gt;"", Assets!G23, "Please complete the Mapping_Asset_Entities tab"), "")</f>
        <v/>
      </c>
      <c r="H25" s="330" t="str" cm="1">
        <f t="array" ref="H25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25" s="52"/>
      <c r="J25" s="120"/>
      <c r="K25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25" s="87"/>
      <c r="M25" s="210"/>
      <c r="N25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25" s="87"/>
      <c r="P25" s="342"/>
      <c r="Q25" s="115"/>
      <c r="R25" s="171"/>
      <c r="S25" s="111"/>
      <c r="T25" s="112"/>
      <c r="U25" s="113"/>
      <c r="V25" s="113"/>
      <c r="W25" s="344" t="str" cm="1">
        <f t="array" ref="W25">IFERROR(IF($Y25&lt;&gt;"",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TRUE)&amp;".ACM."&amp;_xlfn.TEXTSPLIT(Assets!N23, ", "&amp;CHAR(10))&amp;"Interface"), "N/A"), ""), "N/A")</f>
        <v/>
      </c>
      <c r="X25" s="200" t="str">
        <f>IF(EInfo_ACM[[#This Row],[Assets]]&lt;&gt;"", IF(Assets!F23&lt;&gt;"", Assets!F23, "Please complete the Mapping_Asset_Interfaces tab"), "")</f>
        <v/>
      </c>
      <c r="Y25" s="91" t="str">
        <f>Assets!N23</f>
        <v/>
      </c>
      <c r="Z25" s="347"/>
      <c r="AA25" s="349" t="str" cm="1">
        <f t="array" ref="AA25">IFERROR(IF($Y25&lt;&gt;"",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25" s="201"/>
      <c r="AC25" s="105"/>
      <c r="AD25" s="106"/>
      <c r="AE25" s="106"/>
      <c r="AF25" s="354" t="str">
        <f>IFERROR(IF($A25&lt;&gt;"",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25" s="352"/>
      <c r="AH25" s="133" t="str">
        <f>IFERROR(IF($A25&lt;&gt;"",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25" s="352"/>
      <c r="AJ25" s="105"/>
      <c r="AK25" s="354" t="str">
        <f>IFERROR(IF($A25&lt;&gt;"",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25" s="352"/>
      <c r="AM25" s="114"/>
      <c r="AN25" s="107"/>
      <c r="AO25" s="354" t="str">
        <f>IFERROR(IF($A25&lt;&gt;"",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25" s="86"/>
      <c r="AQ25" s="349" t="str">
        <f>IFERROR(IF($A25&lt;&gt;"",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25" s="87"/>
      <c r="AS25" s="202" t="str">
        <f>IF($A25&lt;&gt;"",
IF(Assets!H23&lt;&gt;"",Assets!H23,"Please complete the SSM column in the Asset sheet"),"")</f>
        <v/>
      </c>
      <c r="AT25" s="106"/>
      <c r="AU25" s="354" t="str">
        <f>IFERROR(IF(AND($A25&lt;&gt;"",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25" s="87"/>
      <c r="AW25" s="356" t="str" cm="1">
        <f t="array" ref="AW25">IFERROR(IF(AND($A25&lt;&gt;"",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25" s="93"/>
      <c r="AY25" s="94"/>
      <c r="AZ25" s="94"/>
      <c r="BA25" s="94"/>
      <c r="BB25" s="358"/>
      <c r="BC25" s="356" t="str" cm="1">
        <f t="array" ref="BC25">IFERROR(IF(AND($A25&lt;&gt;"",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25" s="93"/>
      <c r="BE25" s="94"/>
      <c r="BF25" s="94"/>
      <c r="BG25" s="123"/>
      <c r="BH25" s="585" t="str">
        <f>IF($A25&lt;&gt;"",
IF(Assets!I23&lt;&gt;"",Assets!I23,"Please complete the SCM column in the Asset sheet"),"")</f>
        <v/>
      </c>
      <c r="BI25" s="581"/>
      <c r="BJ25" s="387" t="str">
        <f>IFERROR(IF(AND($A25&lt;&gt;"",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25" s="330" t="str" cm="1">
        <f t="array" ref="BK25">IF($A25&lt;&gt;"",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25" s="204" t="str">
        <f>Assets!P23</f>
        <v/>
      </c>
      <c r="BM25" s="205" t="str">
        <f>Assets!Q23</f>
        <v/>
      </c>
      <c r="BN25" s="161"/>
      <c r="BO25" s="389" t="str">
        <f>IF($A25&lt;&gt;"",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25" s="86"/>
      <c r="BQ25" s="389" t="str">
        <f>IFERROR(IF($A25&lt;&gt;"",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25" s="86"/>
      <c r="BS25" s="389" t="str">
        <f>IF($A25&lt;&gt;"",
   IF(EInfo_ACM[[#This Row],[List of network interfaces]]&lt;&gt;"",
   _xlfn.TEXTJOIN(", "&amp;CHAR(10),TRUE, "E.Info.SCM-1.SCM.States", "E.Info.SCM-1.SCM.SecObjectives"), ""), "")</f>
        <v/>
      </c>
      <c r="BT25" s="86"/>
      <c r="BU25" s="391" t="str">
        <f>IFERROR(IF(AND($A25&lt;&gt;"",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25" s="93"/>
      <c r="BW25" s="94"/>
      <c r="BX25" s="94"/>
      <c r="BY25" s="94"/>
      <c r="BZ25" s="358"/>
      <c r="CA25" s="391" t="str">
        <f>IFERROR(IF(AND($A25&lt;&gt;"",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25" s="93"/>
      <c r="CC25" s="94"/>
      <c r="CD25" s="358"/>
      <c r="CE25" s="130" t="str">
        <f>IFERROR(IF(AND($A25&lt;&gt;"",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25" s="93"/>
      <c r="CG25" s="94"/>
      <c r="CH25" s="94"/>
      <c r="CI25" s="358"/>
      <c r="CJ25" s="401"/>
      <c r="CK25" s="394" t="str" cm="1">
        <f t="array" ref="CK25">IFERROR(IF($A25&lt;&gt;"",
     _xlfn.IFS(EInfo_ACM[[#This Row],[E.Info.DT.DLM-1]]="N/A", "N/A", AND(VALUE(RIGHT(EInfo_ACM[[#This Row],[E.Info.DT.DLM-1]]))=1, OR(EInfo_ACM[[#This Row],[Type]]="Privacy", AND(Assets!E23="Sensitive", EInfo_ACM[[#This Row],[Type]]="Security", Assets!D23="Parameter"))), "E.Info.DLM-1.DLM"), ""), "")</f>
        <v/>
      </c>
      <c r="CL25" s="397"/>
      <c r="CM25" s="120"/>
      <c r="CN25" s="142" t="str">
        <f>IFERROR(IF($A25&lt;&gt;"",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25" s="143"/>
      <c r="CP25" s="110" t="str">
        <f>IF($A25&lt;&gt;"",
IF(Assets!J23&lt;&gt;"",Assets!J23,"Please complete the CCK column in the Asset sheet"),"")</f>
        <v/>
      </c>
      <c r="CQ25" s="209"/>
      <c r="CR25" s="404" t="str">
        <f>IFERROR(IF($A25&lt;&gt;"",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25" s="86"/>
      <c r="CT25" s="210"/>
      <c r="CU25" s="404" t="str">
        <f>IFERROR(IF($A25&lt;&gt;"",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25" s="86"/>
      <c r="CW25" s="210"/>
      <c r="CX25" s="330" t="str">
        <f>IFERROR(IF($A25&lt;&gt;"",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25" s="86"/>
      <c r="CZ25" s="14"/>
    </row>
    <row r="26" spans="1:104" x14ac:dyDescent="0.3">
      <c r="A26" s="241" t="str">
        <f>IF(Assets!A24="", "", Assets!A24)</f>
        <v/>
      </c>
      <c r="B26" s="141" t="str">
        <f>IF(Assets!C24="", "", Assets!C24)</f>
        <v/>
      </c>
      <c r="C26" s="191"/>
      <c r="D26" s="330" t="str" cm="1">
        <f t="array" ref="D26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AND(Assets!E24="Sensitive", EInfo_ACM[[#This Row],[Type]]="Security", Assets!D24="Parameter"), "E.Info.DLM-1.SenSecParam"), ""), ""),
          IF(EInfo_ACM[[#This Row],[Type]]="Privacy", "E.Info.UNM-1.PersonalInformation", ""),
          "E.Info.GEC-1."&amp;EInfo_ACM[[#This Row],[Type]]&amp;"Asset"
),""), "")</f>
        <v/>
      </c>
      <c r="E26" s="89" t="str">
        <f>IF(Assets!B24="", "", Assets!B24)</f>
        <v/>
      </c>
      <c r="F26" s="186" t="str">
        <f>IF(EInfo_ACM[[#This Row],[Type]]&lt;&gt;"", _xlfn.TEXTJOIN(", "&amp;CHAR(10), TRUE, "E.Info.ACM-1."&amp;EInfo_ACM[[#This Row],[Type]]&amp;"Asset.Access"), "")</f>
        <v/>
      </c>
      <c r="G26" s="192" t="str">
        <f>IF(EInfo_ACM[[#This Row],[Assets]]&lt;&gt;"", IF(Assets!G24&lt;&gt;"", Assets!G24, "Please complete the Mapping_Asset_Entities tab"), "")</f>
        <v/>
      </c>
      <c r="H26" s="330" t="str" cm="1">
        <f t="array" ref="H26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26" s="52"/>
      <c r="J26" s="120"/>
      <c r="K26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26" s="87"/>
      <c r="M26" s="210"/>
      <c r="N26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26" s="87"/>
      <c r="P26" s="342"/>
      <c r="Q26" s="115"/>
      <c r="R26" s="171"/>
      <c r="S26" s="111"/>
      <c r="T26" s="112"/>
      <c r="U26" s="113"/>
      <c r="V26" s="113"/>
      <c r="W26" s="344" t="str" cm="1">
        <f t="array" ref="W26">IFERROR(IF($Y26&lt;&gt;"",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TRUE)&amp;".ACM."&amp;_xlfn.TEXTSPLIT(Assets!N24, ", "&amp;CHAR(10))&amp;"Interface"), "N/A"), ""), "N/A")</f>
        <v/>
      </c>
      <c r="X26" s="200" t="str">
        <f>IF(EInfo_ACM[[#This Row],[Assets]]&lt;&gt;"", IF(Assets!F24&lt;&gt;"", Assets!F24, "Please complete the Mapping_Asset_Interfaces tab"), "")</f>
        <v/>
      </c>
      <c r="Y26" s="91" t="str">
        <f>Assets!N24</f>
        <v/>
      </c>
      <c r="Z26" s="347"/>
      <c r="AA26" s="349" t="str" cm="1">
        <f t="array" ref="AA26">IFERROR(IF($Y26&lt;&gt;"",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26" s="201"/>
      <c r="AC26" s="105"/>
      <c r="AD26" s="106"/>
      <c r="AE26" s="106"/>
      <c r="AF26" s="354" t="str">
        <f>IFERROR(IF($A26&lt;&gt;"",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26" s="352"/>
      <c r="AH26" s="133" t="str">
        <f>IFERROR(IF($A26&lt;&gt;"",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26" s="352"/>
      <c r="AJ26" s="105"/>
      <c r="AK26" s="354" t="str">
        <f>IFERROR(IF($A26&lt;&gt;"",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26" s="352"/>
      <c r="AM26" s="114"/>
      <c r="AN26" s="107"/>
      <c r="AO26" s="354" t="str">
        <f>IFERROR(IF($A26&lt;&gt;"",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26" s="86"/>
      <c r="AQ26" s="349" t="str">
        <f>IFERROR(IF($A26&lt;&gt;"",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26" s="87"/>
      <c r="AS26" s="202" t="str">
        <f>IF($A26&lt;&gt;"",
IF(Assets!H24&lt;&gt;"",Assets!H24,"Please complete the SSM column in the Asset sheet"),"")</f>
        <v/>
      </c>
      <c r="AT26" s="106"/>
      <c r="AU26" s="354" t="str">
        <f>IFERROR(IF(AND($A26&lt;&gt;"",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26" s="87"/>
      <c r="AW26" s="356" t="str" cm="1">
        <f t="array" ref="AW26">IFERROR(IF(AND($A26&lt;&gt;"",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26" s="93"/>
      <c r="AY26" s="94"/>
      <c r="AZ26" s="94"/>
      <c r="BA26" s="94"/>
      <c r="BB26" s="358"/>
      <c r="BC26" s="356" t="str" cm="1">
        <f t="array" ref="BC26">IFERROR(IF(AND($A26&lt;&gt;"",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26" s="93"/>
      <c r="BE26" s="94"/>
      <c r="BF26" s="94"/>
      <c r="BG26" s="123"/>
      <c r="BH26" s="585" t="str">
        <f>IF($A26&lt;&gt;"",
IF(Assets!I24&lt;&gt;"",Assets!I24,"Please complete the SCM column in the Asset sheet"),"")</f>
        <v/>
      </c>
      <c r="BI26" s="581"/>
      <c r="BJ26" s="387" t="str">
        <f>IFERROR(IF(AND($A26&lt;&gt;"",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26" s="330" t="str" cm="1">
        <f t="array" ref="BK26">IF($A26&lt;&gt;"",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26" s="204" t="str">
        <f>Assets!P24</f>
        <v/>
      </c>
      <c r="BM26" s="205" t="str">
        <f>Assets!Q24</f>
        <v/>
      </c>
      <c r="BN26" s="161"/>
      <c r="BO26" s="389" t="str">
        <f>IF($A26&lt;&gt;"",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26" s="86"/>
      <c r="BQ26" s="389" t="str">
        <f>IFERROR(IF($A26&lt;&gt;"",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26" s="86"/>
      <c r="BS26" s="389" t="str">
        <f>IF($A26&lt;&gt;"",
   IF(EInfo_ACM[[#This Row],[List of network interfaces]]&lt;&gt;"",
   _xlfn.TEXTJOIN(", "&amp;CHAR(10),TRUE, "E.Info.SCM-1.SCM.States", "E.Info.SCM-1.SCM.SecObjectives"), ""), "")</f>
        <v/>
      </c>
      <c r="BT26" s="86"/>
      <c r="BU26" s="391" t="str">
        <f>IFERROR(IF(AND($A26&lt;&gt;"",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26" s="93"/>
      <c r="BW26" s="94"/>
      <c r="BX26" s="94"/>
      <c r="BY26" s="94"/>
      <c r="BZ26" s="358"/>
      <c r="CA26" s="391" t="str">
        <f>IFERROR(IF(AND($A26&lt;&gt;"",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26" s="93"/>
      <c r="CC26" s="94"/>
      <c r="CD26" s="358"/>
      <c r="CE26" s="130" t="str">
        <f>IFERROR(IF(AND($A26&lt;&gt;"",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26" s="93"/>
      <c r="CG26" s="94"/>
      <c r="CH26" s="94"/>
      <c r="CI26" s="358"/>
      <c r="CJ26" s="401"/>
      <c r="CK26" s="394" t="str" cm="1">
        <f t="array" ref="CK26">IFERROR(IF($A26&lt;&gt;"",
     _xlfn.IFS(EInfo_ACM[[#This Row],[E.Info.DT.DLM-1]]="N/A", "N/A", AND(VALUE(RIGHT(EInfo_ACM[[#This Row],[E.Info.DT.DLM-1]]))=1, OR(EInfo_ACM[[#This Row],[Type]]="Privacy", AND(Assets!E24="Sensitive", EInfo_ACM[[#This Row],[Type]]="Security", Assets!D24="Parameter"))), "E.Info.DLM-1.DLM"), ""), "")</f>
        <v/>
      </c>
      <c r="CL26" s="397"/>
      <c r="CM26" s="120"/>
      <c r="CN26" s="142" t="str">
        <f>IFERROR(IF($A26&lt;&gt;"",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26" s="143"/>
      <c r="CP26" s="110" t="str">
        <f>IF($A26&lt;&gt;"",
IF(Assets!J24&lt;&gt;"",Assets!J24,"Please complete the CCK column in the Asset sheet"),"")</f>
        <v/>
      </c>
      <c r="CQ26" s="209"/>
      <c r="CR26" s="404" t="str">
        <f>IFERROR(IF($A26&lt;&gt;"",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26" s="86"/>
      <c r="CT26" s="210"/>
      <c r="CU26" s="404" t="str">
        <f>IFERROR(IF($A26&lt;&gt;"",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26" s="86"/>
      <c r="CW26" s="210"/>
      <c r="CX26" s="330" t="str">
        <f>IFERROR(IF($A26&lt;&gt;"",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26" s="86"/>
      <c r="CZ26" s="14"/>
    </row>
    <row r="27" spans="1:104" x14ac:dyDescent="0.3">
      <c r="A27" s="241" t="str">
        <f>IF(Assets!A25="", "", Assets!A25)</f>
        <v/>
      </c>
      <c r="B27" s="141" t="str">
        <f>IF(Assets!C25="", "", Assets!C25)</f>
        <v/>
      </c>
      <c r="C27" s="191"/>
      <c r="D27" s="330" t="str" cm="1">
        <f t="array" ref="D27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AND(Assets!E25="Sensitive", EInfo_ACM[[#This Row],[Type]]="Security", Assets!D25="Parameter"), "E.Info.DLM-1.SenSecParam"), ""), ""),
          IF(EInfo_ACM[[#This Row],[Type]]="Privacy", "E.Info.UNM-1.PersonalInformation", ""),
          "E.Info.GEC-1."&amp;EInfo_ACM[[#This Row],[Type]]&amp;"Asset"
),""), "")</f>
        <v/>
      </c>
      <c r="E27" s="89" t="str">
        <f>IF(Assets!B25="", "", Assets!B25)</f>
        <v/>
      </c>
      <c r="F27" s="186" t="str">
        <f>IF(EInfo_ACM[[#This Row],[Type]]&lt;&gt;"", _xlfn.TEXTJOIN(", "&amp;CHAR(10), TRUE, "E.Info.ACM-1."&amp;EInfo_ACM[[#This Row],[Type]]&amp;"Asset.Access"), "")</f>
        <v/>
      </c>
      <c r="G27" s="192" t="str">
        <f>IF(EInfo_ACM[[#This Row],[Assets]]&lt;&gt;"", IF(Assets!G25&lt;&gt;"", Assets!G25, "Please complete the Mapping_Asset_Entities tab"), "")</f>
        <v/>
      </c>
      <c r="H27" s="330" t="str" cm="1">
        <f t="array" ref="H27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27" s="52"/>
      <c r="J27" s="120"/>
      <c r="K27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27" s="87"/>
      <c r="M27" s="210"/>
      <c r="N27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27" s="87"/>
      <c r="P27" s="342"/>
      <c r="Q27" s="115"/>
      <c r="R27" s="171"/>
      <c r="S27" s="111"/>
      <c r="T27" s="112"/>
      <c r="U27" s="113"/>
      <c r="V27" s="113"/>
      <c r="W27" s="344" t="str" cm="1">
        <f t="array" ref="W27">IFERROR(IF($Y27&lt;&gt;"",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TRUE)&amp;".ACM."&amp;_xlfn.TEXTSPLIT(Assets!N25, ", "&amp;CHAR(10))&amp;"Interface"), "N/A"), ""), "N/A")</f>
        <v/>
      </c>
      <c r="X27" s="200" t="str">
        <f>IF(EInfo_ACM[[#This Row],[Assets]]&lt;&gt;"", IF(Assets!F25&lt;&gt;"", Assets!F25, "Please complete the Mapping_Asset_Interfaces tab"), "")</f>
        <v/>
      </c>
      <c r="Y27" s="91" t="str">
        <f>Assets!N25</f>
        <v/>
      </c>
      <c r="Z27" s="347"/>
      <c r="AA27" s="349" t="str" cm="1">
        <f t="array" ref="AA27">IFERROR(IF($Y27&lt;&gt;"",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27" s="201"/>
      <c r="AC27" s="105"/>
      <c r="AD27" s="106"/>
      <c r="AE27" s="106"/>
      <c r="AF27" s="354" t="str">
        <f>IFERROR(IF($A27&lt;&gt;"",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27" s="352"/>
      <c r="AH27" s="133" t="str">
        <f>IFERROR(IF($A27&lt;&gt;"",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27" s="352"/>
      <c r="AJ27" s="105"/>
      <c r="AK27" s="354" t="str">
        <f>IFERROR(IF($A27&lt;&gt;"",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27" s="352"/>
      <c r="AM27" s="114"/>
      <c r="AN27" s="107"/>
      <c r="AO27" s="354" t="str">
        <f>IFERROR(IF($A27&lt;&gt;"",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27" s="86"/>
      <c r="AQ27" s="349" t="str">
        <f>IFERROR(IF($A27&lt;&gt;"",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27" s="87"/>
      <c r="AS27" s="202" t="str">
        <f>IF($A27&lt;&gt;"",
IF(Assets!H25&lt;&gt;"",Assets!H25,"Please complete the SSM column in the Asset sheet"),"")</f>
        <v/>
      </c>
      <c r="AT27" s="106"/>
      <c r="AU27" s="354" t="str">
        <f>IFERROR(IF(AND($A27&lt;&gt;"",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27" s="87"/>
      <c r="AW27" s="356" t="str" cm="1">
        <f t="array" ref="AW27">IFERROR(IF(AND($A27&lt;&gt;"",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27" s="93"/>
      <c r="AY27" s="94"/>
      <c r="AZ27" s="94"/>
      <c r="BA27" s="94"/>
      <c r="BB27" s="358"/>
      <c r="BC27" s="356" t="str" cm="1">
        <f t="array" ref="BC27">IFERROR(IF(AND($A27&lt;&gt;"",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27" s="93"/>
      <c r="BE27" s="94"/>
      <c r="BF27" s="94"/>
      <c r="BG27" s="123"/>
      <c r="BH27" s="585" t="str">
        <f>IF($A27&lt;&gt;"",
IF(Assets!I25&lt;&gt;"",Assets!I25,"Please complete the SCM column in the Asset sheet"),"")</f>
        <v/>
      </c>
      <c r="BI27" s="581"/>
      <c r="BJ27" s="387" t="str">
        <f>IFERROR(IF(AND($A27&lt;&gt;"",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27" s="330" t="str" cm="1">
        <f t="array" ref="BK27">IF($A27&lt;&gt;"",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27" s="204" t="str">
        <f>Assets!P25</f>
        <v/>
      </c>
      <c r="BM27" s="205" t="str">
        <f>Assets!Q25</f>
        <v/>
      </c>
      <c r="BN27" s="161"/>
      <c r="BO27" s="389" t="str">
        <f>IF($A27&lt;&gt;"",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27" s="86"/>
      <c r="BQ27" s="389" t="str">
        <f>IFERROR(IF($A27&lt;&gt;"",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27" s="86"/>
      <c r="BS27" s="389" t="str">
        <f>IF($A27&lt;&gt;"",
   IF(EInfo_ACM[[#This Row],[List of network interfaces]]&lt;&gt;"",
   _xlfn.TEXTJOIN(", "&amp;CHAR(10),TRUE, "E.Info.SCM-1.SCM.States", "E.Info.SCM-1.SCM.SecObjectives"), ""), "")</f>
        <v/>
      </c>
      <c r="BT27" s="86"/>
      <c r="BU27" s="391" t="str">
        <f>IFERROR(IF(AND($A27&lt;&gt;"",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27" s="93"/>
      <c r="BW27" s="94"/>
      <c r="BX27" s="94"/>
      <c r="BY27" s="94"/>
      <c r="BZ27" s="358"/>
      <c r="CA27" s="391" t="str">
        <f>IFERROR(IF(AND($A27&lt;&gt;"",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27" s="93"/>
      <c r="CC27" s="94"/>
      <c r="CD27" s="358"/>
      <c r="CE27" s="130" t="str">
        <f>IFERROR(IF(AND($A27&lt;&gt;"",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27" s="93"/>
      <c r="CG27" s="94"/>
      <c r="CH27" s="94"/>
      <c r="CI27" s="358"/>
      <c r="CJ27" s="401"/>
      <c r="CK27" s="394" t="str" cm="1">
        <f t="array" ref="CK27">IFERROR(IF($A27&lt;&gt;"",
     _xlfn.IFS(EInfo_ACM[[#This Row],[E.Info.DT.DLM-1]]="N/A", "N/A", AND(VALUE(RIGHT(EInfo_ACM[[#This Row],[E.Info.DT.DLM-1]]))=1, OR(EInfo_ACM[[#This Row],[Type]]="Privacy", AND(Assets!E25="Sensitive", EInfo_ACM[[#This Row],[Type]]="Security", Assets!D25="Parameter"))), "E.Info.DLM-1.DLM"), ""), "")</f>
        <v/>
      </c>
      <c r="CL27" s="397"/>
      <c r="CM27" s="120"/>
      <c r="CN27" s="142" t="str">
        <f>IFERROR(IF($A27&lt;&gt;"",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27" s="143"/>
      <c r="CP27" s="110" t="str">
        <f>IF($A27&lt;&gt;"",
IF(Assets!J25&lt;&gt;"",Assets!J25,"Please complete the CCK column in the Asset sheet"),"")</f>
        <v/>
      </c>
      <c r="CQ27" s="209"/>
      <c r="CR27" s="404" t="str">
        <f>IFERROR(IF($A27&lt;&gt;"",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27" s="86"/>
      <c r="CT27" s="210"/>
      <c r="CU27" s="404" t="str">
        <f>IFERROR(IF($A27&lt;&gt;"",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27" s="86"/>
      <c r="CW27" s="210"/>
      <c r="CX27" s="330" t="str">
        <f>IFERROR(IF($A27&lt;&gt;"",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27" s="86"/>
      <c r="CZ27" s="14"/>
    </row>
    <row r="28" spans="1:104" x14ac:dyDescent="0.3">
      <c r="A28" s="241" t="str">
        <f>IF(Assets!A26="", "", Assets!A26)</f>
        <v/>
      </c>
      <c r="B28" s="141" t="str">
        <f>IF(Assets!C26="", "", Assets!C26)</f>
        <v/>
      </c>
      <c r="C28" s="191"/>
      <c r="D28" s="330" t="str" cm="1">
        <f t="array" ref="D28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AND(Assets!E26="Sensitive", EInfo_ACM[[#This Row],[Type]]="Security", Assets!D26="Parameter"), "E.Info.DLM-1.SenSecParam"), ""), ""),
          IF(EInfo_ACM[[#This Row],[Type]]="Privacy", "E.Info.UNM-1.PersonalInformation", ""),
          "E.Info.GEC-1."&amp;EInfo_ACM[[#This Row],[Type]]&amp;"Asset"
),""), "")</f>
        <v/>
      </c>
      <c r="E28" s="89" t="str">
        <f>IF(Assets!B26="", "", Assets!B26)</f>
        <v/>
      </c>
      <c r="F28" s="186" t="str">
        <f>IF(EInfo_ACM[[#This Row],[Type]]&lt;&gt;"", _xlfn.TEXTJOIN(", "&amp;CHAR(10), TRUE, "E.Info.ACM-1."&amp;EInfo_ACM[[#This Row],[Type]]&amp;"Asset.Access"), "")</f>
        <v/>
      </c>
      <c r="G28" s="192" t="str">
        <f>IF(EInfo_ACM[[#This Row],[Assets]]&lt;&gt;"", IF(Assets!G26&lt;&gt;"", Assets!G26, "Please complete the Mapping_Asset_Entities tab"), "")</f>
        <v/>
      </c>
      <c r="H28" s="330" t="str" cm="1">
        <f t="array" ref="H28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28" s="52"/>
      <c r="J28" s="120"/>
      <c r="K28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28" s="87"/>
      <c r="M28" s="210"/>
      <c r="N28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28" s="87"/>
      <c r="P28" s="342"/>
      <c r="Q28" s="115"/>
      <c r="R28" s="171"/>
      <c r="S28" s="111"/>
      <c r="T28" s="112"/>
      <c r="U28" s="113"/>
      <c r="V28" s="113"/>
      <c r="W28" s="344" t="str" cm="1">
        <f t="array" ref="W28">IFERROR(IF($Y28&lt;&gt;"",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TRUE)&amp;".ACM."&amp;_xlfn.TEXTSPLIT(Assets!N26, ", "&amp;CHAR(10))&amp;"Interface"), "N/A"), ""), "N/A")</f>
        <v/>
      </c>
      <c r="X28" s="200" t="str">
        <f>IF(EInfo_ACM[[#This Row],[Assets]]&lt;&gt;"", IF(Assets!F26&lt;&gt;"", Assets!F26, "Please complete the Mapping_Asset_Interfaces tab"), "")</f>
        <v/>
      </c>
      <c r="Y28" s="91" t="str">
        <f>Assets!N26</f>
        <v/>
      </c>
      <c r="Z28" s="347"/>
      <c r="AA28" s="349" t="str" cm="1">
        <f t="array" ref="AA28">IFERROR(IF($Y28&lt;&gt;"",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28" s="201"/>
      <c r="AC28" s="105"/>
      <c r="AD28" s="106"/>
      <c r="AE28" s="106"/>
      <c r="AF28" s="354" t="str">
        <f>IFERROR(IF($A28&lt;&gt;"",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28" s="352"/>
      <c r="AH28" s="133" t="str">
        <f>IFERROR(IF($A28&lt;&gt;"",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28" s="352"/>
      <c r="AJ28" s="105"/>
      <c r="AK28" s="354" t="str">
        <f>IFERROR(IF($A28&lt;&gt;"",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28" s="352"/>
      <c r="AM28" s="114"/>
      <c r="AN28" s="107"/>
      <c r="AO28" s="354" t="str">
        <f>IFERROR(IF($A28&lt;&gt;"",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28" s="86"/>
      <c r="AQ28" s="349" t="str">
        <f>IFERROR(IF($A28&lt;&gt;"",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28" s="87"/>
      <c r="AS28" s="202" t="str">
        <f>IF($A28&lt;&gt;"",
IF(Assets!H26&lt;&gt;"",Assets!H26,"Please complete the SSM column in the Asset sheet"),"")</f>
        <v/>
      </c>
      <c r="AT28" s="106"/>
      <c r="AU28" s="354" t="str">
        <f>IFERROR(IF(AND($A28&lt;&gt;"",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28" s="87"/>
      <c r="AW28" s="356" t="str" cm="1">
        <f t="array" ref="AW28">IFERROR(IF(AND($A28&lt;&gt;"",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28" s="93"/>
      <c r="AY28" s="94"/>
      <c r="AZ28" s="94"/>
      <c r="BA28" s="94"/>
      <c r="BB28" s="358"/>
      <c r="BC28" s="356" t="str" cm="1">
        <f t="array" ref="BC28">IFERROR(IF(AND($A28&lt;&gt;"",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28" s="93"/>
      <c r="BE28" s="94"/>
      <c r="BF28" s="94"/>
      <c r="BG28" s="123"/>
      <c r="BH28" s="585" t="str">
        <f>IF($A28&lt;&gt;"",
IF(Assets!I26&lt;&gt;"",Assets!I26,"Please complete the SCM column in the Asset sheet"),"")</f>
        <v/>
      </c>
      <c r="BI28" s="581"/>
      <c r="BJ28" s="387" t="str">
        <f>IFERROR(IF(AND($A28&lt;&gt;"",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28" s="330" t="str" cm="1">
        <f t="array" ref="BK28">IF($A28&lt;&gt;"",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28" s="204" t="str">
        <f>Assets!P26</f>
        <v/>
      </c>
      <c r="BM28" s="205" t="str">
        <f>Assets!Q26</f>
        <v/>
      </c>
      <c r="BN28" s="161"/>
      <c r="BO28" s="389" t="str">
        <f>IF($A28&lt;&gt;"",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28" s="86"/>
      <c r="BQ28" s="389" t="str">
        <f>IFERROR(IF($A28&lt;&gt;"",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28" s="86"/>
      <c r="BS28" s="389" t="str">
        <f>IF($A28&lt;&gt;"",
   IF(EInfo_ACM[[#This Row],[List of network interfaces]]&lt;&gt;"",
   _xlfn.TEXTJOIN(", "&amp;CHAR(10),TRUE, "E.Info.SCM-1.SCM.States", "E.Info.SCM-1.SCM.SecObjectives"), ""), "")</f>
        <v/>
      </c>
      <c r="BT28" s="86"/>
      <c r="BU28" s="391" t="str">
        <f>IFERROR(IF(AND($A28&lt;&gt;"",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28" s="93"/>
      <c r="BW28" s="94"/>
      <c r="BX28" s="94"/>
      <c r="BY28" s="94"/>
      <c r="BZ28" s="358"/>
      <c r="CA28" s="391" t="str">
        <f>IFERROR(IF(AND($A28&lt;&gt;"",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28" s="93"/>
      <c r="CC28" s="94"/>
      <c r="CD28" s="358"/>
      <c r="CE28" s="130" t="str">
        <f>IFERROR(IF(AND($A28&lt;&gt;"",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28" s="93"/>
      <c r="CG28" s="94"/>
      <c r="CH28" s="94"/>
      <c r="CI28" s="358"/>
      <c r="CJ28" s="401"/>
      <c r="CK28" s="394" t="str" cm="1">
        <f t="array" ref="CK28">IFERROR(IF($A28&lt;&gt;"",
     _xlfn.IFS(EInfo_ACM[[#This Row],[E.Info.DT.DLM-1]]="N/A", "N/A", AND(VALUE(RIGHT(EInfo_ACM[[#This Row],[E.Info.DT.DLM-1]]))=1, OR(EInfo_ACM[[#This Row],[Type]]="Privacy", AND(Assets!E26="Sensitive", EInfo_ACM[[#This Row],[Type]]="Security", Assets!D26="Parameter"))), "E.Info.DLM-1.DLM"), ""), "")</f>
        <v/>
      </c>
      <c r="CL28" s="397"/>
      <c r="CM28" s="120"/>
      <c r="CN28" s="142" t="str">
        <f>IFERROR(IF($A28&lt;&gt;"",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28" s="143"/>
      <c r="CP28" s="110" t="str">
        <f>IF($A28&lt;&gt;"",
IF(Assets!J26&lt;&gt;"",Assets!J26,"Please complete the CCK column in the Asset sheet"),"")</f>
        <v/>
      </c>
      <c r="CQ28" s="209"/>
      <c r="CR28" s="404" t="str">
        <f>IFERROR(IF($A28&lt;&gt;"",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28" s="86"/>
      <c r="CT28" s="210"/>
      <c r="CU28" s="404" t="str">
        <f>IFERROR(IF($A28&lt;&gt;"",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28" s="86"/>
      <c r="CW28" s="210"/>
      <c r="CX28" s="330" t="str">
        <f>IFERROR(IF($A28&lt;&gt;"",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28" s="86"/>
      <c r="CZ28" s="14"/>
    </row>
    <row r="29" spans="1:104" x14ac:dyDescent="0.3">
      <c r="A29" s="241" t="str">
        <f>IF(Assets!A27="", "", Assets!A27)</f>
        <v/>
      </c>
      <c r="B29" s="141" t="str">
        <f>IF(Assets!C27="", "", Assets!C27)</f>
        <v/>
      </c>
      <c r="C29" s="191"/>
      <c r="D29" s="330" t="str" cm="1">
        <f t="array" ref="D29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AND(Assets!E27="Sensitive", EInfo_ACM[[#This Row],[Type]]="Security", Assets!D27="Parameter"), "E.Info.DLM-1.SenSecParam"), ""), ""),
          IF(EInfo_ACM[[#This Row],[Type]]="Privacy", "E.Info.UNM-1.PersonalInformation", ""),
          "E.Info.GEC-1."&amp;EInfo_ACM[[#This Row],[Type]]&amp;"Asset"
),""), "")</f>
        <v/>
      </c>
      <c r="E29" s="89" t="str">
        <f>IF(Assets!B27="", "", Assets!B27)</f>
        <v/>
      </c>
      <c r="F29" s="186" t="str">
        <f>IF(EInfo_ACM[[#This Row],[Type]]&lt;&gt;"", _xlfn.TEXTJOIN(", "&amp;CHAR(10), TRUE, "E.Info.ACM-1."&amp;EInfo_ACM[[#This Row],[Type]]&amp;"Asset.Access"), "")</f>
        <v/>
      </c>
      <c r="G29" s="192" t="str">
        <f>IF(EInfo_ACM[[#This Row],[Assets]]&lt;&gt;"", IF(Assets!G27&lt;&gt;"", Assets!G27, "Please complete the Mapping_Asset_Entities tab"), "")</f>
        <v/>
      </c>
      <c r="H29" s="330" t="str" cm="1">
        <f t="array" ref="H29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29" s="52"/>
      <c r="J29" s="120"/>
      <c r="K29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29" s="87"/>
      <c r="M29" s="210"/>
      <c r="N29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29" s="87"/>
      <c r="P29" s="342"/>
      <c r="Q29" s="115"/>
      <c r="R29" s="171"/>
      <c r="S29" s="111"/>
      <c r="T29" s="112"/>
      <c r="U29" s="113"/>
      <c r="V29" s="113"/>
      <c r="W29" s="344" t="str" cm="1">
        <f t="array" ref="W29">IFERROR(IF($Y29&lt;&gt;"",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TRUE)&amp;".ACM."&amp;_xlfn.TEXTSPLIT(Assets!N27, ", "&amp;CHAR(10))&amp;"Interface"), "N/A"), ""), "N/A")</f>
        <v/>
      </c>
      <c r="X29" s="200" t="str">
        <f>IF(EInfo_ACM[[#This Row],[Assets]]&lt;&gt;"", IF(Assets!F27&lt;&gt;"", Assets!F27, "Please complete the Mapping_Asset_Interfaces tab"), "")</f>
        <v/>
      </c>
      <c r="Y29" s="91" t="str">
        <f>Assets!N27</f>
        <v/>
      </c>
      <c r="Z29" s="347"/>
      <c r="AA29" s="349" t="str" cm="1">
        <f t="array" ref="AA29">IFERROR(IF($Y29&lt;&gt;"",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29" s="201"/>
      <c r="AC29" s="105"/>
      <c r="AD29" s="106"/>
      <c r="AE29" s="106"/>
      <c r="AF29" s="354" t="str">
        <f>IFERROR(IF($A29&lt;&gt;"",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29" s="352"/>
      <c r="AH29" s="133" t="str">
        <f>IFERROR(IF($A29&lt;&gt;"",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29" s="352"/>
      <c r="AJ29" s="105"/>
      <c r="AK29" s="354" t="str">
        <f>IFERROR(IF($A29&lt;&gt;"",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29" s="352"/>
      <c r="AM29" s="114"/>
      <c r="AN29" s="107"/>
      <c r="AO29" s="354" t="str">
        <f>IFERROR(IF($A29&lt;&gt;"",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29" s="86"/>
      <c r="AQ29" s="349" t="str">
        <f>IFERROR(IF($A29&lt;&gt;"",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29" s="87"/>
      <c r="AS29" s="202" t="str">
        <f>IF($A29&lt;&gt;"",
IF(Assets!H27&lt;&gt;"",Assets!H27,"Please complete the SSM column in the Asset sheet"),"")</f>
        <v/>
      </c>
      <c r="AT29" s="106"/>
      <c r="AU29" s="354" t="str">
        <f>IFERROR(IF(AND($A29&lt;&gt;"",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29" s="87"/>
      <c r="AW29" s="356" t="str" cm="1">
        <f t="array" ref="AW29">IFERROR(IF(AND($A29&lt;&gt;"",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29" s="93"/>
      <c r="AY29" s="94"/>
      <c r="AZ29" s="94"/>
      <c r="BA29" s="94"/>
      <c r="BB29" s="358"/>
      <c r="BC29" s="356" t="str" cm="1">
        <f t="array" ref="BC29">IFERROR(IF(AND($A29&lt;&gt;"",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29" s="93"/>
      <c r="BE29" s="94"/>
      <c r="BF29" s="94"/>
      <c r="BG29" s="123"/>
      <c r="BH29" s="585" t="str">
        <f>IF($A29&lt;&gt;"",
IF(Assets!I27&lt;&gt;"",Assets!I27,"Please complete the SCM column in the Asset sheet"),"")</f>
        <v/>
      </c>
      <c r="BI29" s="581"/>
      <c r="BJ29" s="387" t="str">
        <f>IFERROR(IF(AND($A29&lt;&gt;"",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29" s="330" t="str" cm="1">
        <f t="array" ref="BK29">IF($A29&lt;&gt;"",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29" s="204" t="str">
        <f>Assets!P27</f>
        <v/>
      </c>
      <c r="BM29" s="205" t="str">
        <f>Assets!Q27</f>
        <v/>
      </c>
      <c r="BN29" s="161"/>
      <c r="BO29" s="389" t="str">
        <f>IF($A29&lt;&gt;"",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29" s="86"/>
      <c r="BQ29" s="389" t="str">
        <f>IFERROR(IF($A29&lt;&gt;"",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29" s="86"/>
      <c r="BS29" s="389" t="str">
        <f>IF($A29&lt;&gt;"",
   IF(EInfo_ACM[[#This Row],[List of network interfaces]]&lt;&gt;"",
   _xlfn.TEXTJOIN(", "&amp;CHAR(10),TRUE, "E.Info.SCM-1.SCM.States", "E.Info.SCM-1.SCM.SecObjectives"), ""), "")</f>
        <v/>
      </c>
      <c r="BT29" s="86"/>
      <c r="BU29" s="391" t="str">
        <f>IFERROR(IF(AND($A29&lt;&gt;"",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29" s="93"/>
      <c r="BW29" s="94"/>
      <c r="BX29" s="94"/>
      <c r="BY29" s="94"/>
      <c r="BZ29" s="358"/>
      <c r="CA29" s="391" t="str">
        <f>IFERROR(IF(AND($A29&lt;&gt;"",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29" s="93"/>
      <c r="CC29" s="94"/>
      <c r="CD29" s="358"/>
      <c r="CE29" s="130" t="str">
        <f>IFERROR(IF(AND($A29&lt;&gt;"",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29" s="93"/>
      <c r="CG29" s="94"/>
      <c r="CH29" s="94"/>
      <c r="CI29" s="358"/>
      <c r="CJ29" s="401"/>
      <c r="CK29" s="394" t="str" cm="1">
        <f t="array" ref="CK29">IFERROR(IF($A29&lt;&gt;"",
     _xlfn.IFS(EInfo_ACM[[#This Row],[E.Info.DT.DLM-1]]="N/A", "N/A", AND(VALUE(RIGHT(EInfo_ACM[[#This Row],[E.Info.DT.DLM-1]]))=1, OR(EInfo_ACM[[#This Row],[Type]]="Privacy", AND(Assets!E27="Sensitive", EInfo_ACM[[#This Row],[Type]]="Security", Assets!D27="Parameter"))), "E.Info.DLM-1.DLM"), ""), "")</f>
        <v/>
      </c>
      <c r="CL29" s="397"/>
      <c r="CM29" s="120"/>
      <c r="CN29" s="142" t="str">
        <f>IFERROR(IF($A29&lt;&gt;"",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29" s="143"/>
      <c r="CP29" s="110" t="str">
        <f>IF($A29&lt;&gt;"",
IF(Assets!J27&lt;&gt;"",Assets!J27,"Please complete the CCK column in the Asset sheet"),"")</f>
        <v/>
      </c>
      <c r="CQ29" s="209"/>
      <c r="CR29" s="404" t="str">
        <f>IFERROR(IF($A29&lt;&gt;"",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29" s="86"/>
      <c r="CT29" s="210"/>
      <c r="CU29" s="404" t="str">
        <f>IFERROR(IF($A29&lt;&gt;"",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29" s="86"/>
      <c r="CW29" s="210"/>
      <c r="CX29" s="330" t="str">
        <f>IFERROR(IF($A29&lt;&gt;"",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29" s="86"/>
      <c r="CZ29" s="14"/>
    </row>
    <row r="30" spans="1:104" x14ac:dyDescent="0.3">
      <c r="A30" s="241" t="str">
        <f>IF(Assets!A28="", "", Assets!A28)</f>
        <v/>
      </c>
      <c r="B30" s="141" t="str">
        <f>IF(Assets!C28="", "", Assets!C28)</f>
        <v/>
      </c>
      <c r="C30" s="191"/>
      <c r="D30" s="330" t="str" cm="1">
        <f t="array" ref="D30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AND(Assets!E28="Sensitive", EInfo_ACM[[#This Row],[Type]]="Security", Assets!D28="Parameter"), "E.Info.DLM-1.SenSecParam"), ""), ""),
          IF(EInfo_ACM[[#This Row],[Type]]="Privacy", "E.Info.UNM-1.PersonalInformation", ""),
          "E.Info.GEC-1."&amp;EInfo_ACM[[#This Row],[Type]]&amp;"Asset"
),""), "")</f>
        <v/>
      </c>
      <c r="E30" s="89" t="str">
        <f>IF(Assets!B28="", "", Assets!B28)</f>
        <v/>
      </c>
      <c r="F30" s="186" t="str">
        <f>IF(EInfo_ACM[[#This Row],[Type]]&lt;&gt;"", _xlfn.TEXTJOIN(", "&amp;CHAR(10), TRUE, "E.Info.ACM-1."&amp;EInfo_ACM[[#This Row],[Type]]&amp;"Asset.Access"), "")</f>
        <v/>
      </c>
      <c r="G30" s="192" t="str">
        <f>IF(EInfo_ACM[[#This Row],[Assets]]&lt;&gt;"", IF(Assets!G28&lt;&gt;"", Assets!G28, "Please complete the Mapping_Asset_Entities tab"), "")</f>
        <v/>
      </c>
      <c r="H30" s="330" t="str" cm="1">
        <f t="array" ref="H30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30" s="52"/>
      <c r="J30" s="120"/>
      <c r="K30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30" s="87"/>
      <c r="M30" s="210"/>
      <c r="N30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30" s="87"/>
      <c r="P30" s="342"/>
      <c r="Q30" s="115"/>
      <c r="R30" s="171"/>
      <c r="S30" s="111"/>
      <c r="T30" s="112"/>
      <c r="U30" s="113"/>
      <c r="V30" s="113"/>
      <c r="W30" s="344" t="str" cm="1">
        <f t="array" ref="W30">IFERROR(IF($Y30&lt;&gt;"",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TRUE)&amp;".ACM."&amp;_xlfn.TEXTSPLIT(Assets!N28, ", "&amp;CHAR(10))&amp;"Interface"), "N/A"), ""), "N/A")</f>
        <v/>
      </c>
      <c r="X30" s="200" t="str">
        <f>IF(EInfo_ACM[[#This Row],[Assets]]&lt;&gt;"", IF(Assets!F28&lt;&gt;"", Assets!F28, "Please complete the Mapping_Asset_Interfaces tab"), "")</f>
        <v/>
      </c>
      <c r="Y30" s="91" t="str">
        <f>Assets!N28</f>
        <v/>
      </c>
      <c r="Z30" s="347"/>
      <c r="AA30" s="349" t="str" cm="1">
        <f t="array" ref="AA30">IFERROR(IF($Y30&lt;&gt;"",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30" s="201"/>
      <c r="AC30" s="105"/>
      <c r="AD30" s="106"/>
      <c r="AE30" s="106"/>
      <c r="AF30" s="354" t="str">
        <f>IFERROR(IF($A30&lt;&gt;"",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30" s="352"/>
      <c r="AH30" s="133" t="str">
        <f>IFERROR(IF($A30&lt;&gt;"",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30" s="352"/>
      <c r="AJ30" s="105"/>
      <c r="AK30" s="354" t="str">
        <f>IFERROR(IF($A30&lt;&gt;"",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30" s="352"/>
      <c r="AM30" s="114"/>
      <c r="AN30" s="107"/>
      <c r="AO30" s="354" t="str">
        <f>IFERROR(IF($A30&lt;&gt;"",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30" s="86"/>
      <c r="AQ30" s="349" t="str">
        <f>IFERROR(IF($A30&lt;&gt;"",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30" s="87"/>
      <c r="AS30" s="202" t="str">
        <f>IF($A30&lt;&gt;"",
IF(Assets!H28&lt;&gt;"",Assets!H28,"Please complete the SSM column in the Asset sheet"),"")</f>
        <v/>
      </c>
      <c r="AT30" s="106"/>
      <c r="AU30" s="354" t="str">
        <f>IFERROR(IF(AND($A30&lt;&gt;"",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30" s="87"/>
      <c r="AW30" s="356" t="str" cm="1">
        <f t="array" ref="AW30">IFERROR(IF(AND($A30&lt;&gt;"",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30" s="93"/>
      <c r="AY30" s="94"/>
      <c r="AZ30" s="94"/>
      <c r="BA30" s="94"/>
      <c r="BB30" s="358"/>
      <c r="BC30" s="356" t="str" cm="1">
        <f t="array" ref="BC30">IFERROR(IF(AND($A30&lt;&gt;"",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30" s="93"/>
      <c r="BE30" s="94"/>
      <c r="BF30" s="94"/>
      <c r="BG30" s="123"/>
      <c r="BH30" s="585" t="str">
        <f>IF($A30&lt;&gt;"",
IF(Assets!I28&lt;&gt;"",Assets!I28,"Please complete the SCM column in the Asset sheet"),"")</f>
        <v/>
      </c>
      <c r="BI30" s="581"/>
      <c r="BJ30" s="387" t="str">
        <f>IFERROR(IF(AND($A30&lt;&gt;"",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30" s="330" t="str" cm="1">
        <f t="array" ref="BK30">IF($A30&lt;&gt;"",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30" s="204" t="str">
        <f>Assets!P28</f>
        <v/>
      </c>
      <c r="BM30" s="205" t="str">
        <f>Assets!Q28</f>
        <v/>
      </c>
      <c r="BN30" s="161"/>
      <c r="BO30" s="389" t="str">
        <f>IF($A30&lt;&gt;"",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30" s="86"/>
      <c r="BQ30" s="389" t="str">
        <f>IFERROR(IF($A30&lt;&gt;"",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30" s="86"/>
      <c r="BS30" s="389" t="str">
        <f>IF($A30&lt;&gt;"",
   IF(EInfo_ACM[[#This Row],[List of network interfaces]]&lt;&gt;"",
   _xlfn.TEXTJOIN(", "&amp;CHAR(10),TRUE, "E.Info.SCM-1.SCM.States", "E.Info.SCM-1.SCM.SecObjectives"), ""), "")</f>
        <v/>
      </c>
      <c r="BT30" s="86"/>
      <c r="BU30" s="391" t="str">
        <f>IFERROR(IF(AND($A30&lt;&gt;"",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30" s="93"/>
      <c r="BW30" s="94"/>
      <c r="BX30" s="94"/>
      <c r="BY30" s="94"/>
      <c r="BZ30" s="358"/>
      <c r="CA30" s="391" t="str">
        <f>IFERROR(IF(AND($A30&lt;&gt;"",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30" s="93"/>
      <c r="CC30" s="94"/>
      <c r="CD30" s="358"/>
      <c r="CE30" s="130" t="str">
        <f>IFERROR(IF(AND($A30&lt;&gt;"",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30" s="93"/>
      <c r="CG30" s="94"/>
      <c r="CH30" s="94"/>
      <c r="CI30" s="358"/>
      <c r="CJ30" s="401"/>
      <c r="CK30" s="394" t="str" cm="1">
        <f t="array" ref="CK30">IFERROR(IF($A30&lt;&gt;"",
     _xlfn.IFS(EInfo_ACM[[#This Row],[E.Info.DT.DLM-1]]="N/A", "N/A", AND(VALUE(RIGHT(EInfo_ACM[[#This Row],[E.Info.DT.DLM-1]]))=1, OR(EInfo_ACM[[#This Row],[Type]]="Privacy", AND(Assets!E28="Sensitive", EInfo_ACM[[#This Row],[Type]]="Security", Assets!D28="Parameter"))), "E.Info.DLM-1.DLM"), ""), "")</f>
        <v/>
      </c>
      <c r="CL30" s="397"/>
      <c r="CM30" s="120"/>
      <c r="CN30" s="142" t="str">
        <f>IFERROR(IF($A30&lt;&gt;"",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30" s="143"/>
      <c r="CP30" s="110" t="str">
        <f>IF($A30&lt;&gt;"",
IF(Assets!J28&lt;&gt;"",Assets!J28,"Please complete the CCK column in the Asset sheet"),"")</f>
        <v/>
      </c>
      <c r="CQ30" s="209"/>
      <c r="CR30" s="404" t="str">
        <f>IFERROR(IF($A30&lt;&gt;"",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30" s="86"/>
      <c r="CT30" s="210"/>
      <c r="CU30" s="404" t="str">
        <f>IFERROR(IF($A30&lt;&gt;"",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30" s="86"/>
      <c r="CW30" s="210"/>
      <c r="CX30" s="330" t="str">
        <f>IFERROR(IF($A30&lt;&gt;"",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30" s="86"/>
      <c r="CZ30" s="14"/>
    </row>
    <row r="31" spans="1:104" x14ac:dyDescent="0.3">
      <c r="A31" s="241" t="str">
        <f>IF(Assets!A29="", "", Assets!A29)</f>
        <v/>
      </c>
      <c r="B31" s="141" t="str">
        <f>IF(Assets!C29="", "", Assets!C29)</f>
        <v/>
      </c>
      <c r="C31" s="191"/>
      <c r="D31" s="330" t="str" cm="1">
        <f t="array" ref="D31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AND(Assets!E29="Sensitive", EInfo_ACM[[#This Row],[Type]]="Security", Assets!D29="Parameter"), "E.Info.DLM-1.SenSecParam"), ""), ""),
          IF(EInfo_ACM[[#This Row],[Type]]="Privacy", "E.Info.UNM-1.PersonalInformation", ""),
          "E.Info.GEC-1."&amp;EInfo_ACM[[#This Row],[Type]]&amp;"Asset"
),""), "")</f>
        <v/>
      </c>
      <c r="E31" s="89" t="str">
        <f>IF(Assets!B29="", "", Assets!B29)</f>
        <v/>
      </c>
      <c r="F31" s="186" t="str">
        <f>IF(EInfo_ACM[[#This Row],[Type]]&lt;&gt;"", _xlfn.TEXTJOIN(", "&amp;CHAR(10), TRUE, "E.Info.ACM-1."&amp;EInfo_ACM[[#This Row],[Type]]&amp;"Asset.Access"), "")</f>
        <v/>
      </c>
      <c r="G31" s="192" t="str">
        <f>IF(EInfo_ACM[[#This Row],[Assets]]&lt;&gt;"", IF(Assets!G29&lt;&gt;"", Assets!G29, "Please complete the Mapping_Asset_Entities tab"), "")</f>
        <v/>
      </c>
      <c r="H31" s="330" t="str" cm="1">
        <f t="array" ref="H31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31" s="52"/>
      <c r="J31" s="120"/>
      <c r="K31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31" s="87"/>
      <c r="M31" s="210"/>
      <c r="N31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31" s="87"/>
      <c r="P31" s="342"/>
      <c r="Q31" s="115"/>
      <c r="R31" s="171"/>
      <c r="S31" s="111"/>
      <c r="T31" s="112"/>
      <c r="U31" s="113"/>
      <c r="V31" s="113"/>
      <c r="W31" s="344" t="str" cm="1">
        <f t="array" ref="W31">IFERROR(IF($Y31&lt;&gt;"",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TRUE)&amp;".ACM."&amp;_xlfn.TEXTSPLIT(Assets!N29, ", "&amp;CHAR(10))&amp;"Interface"), "N/A"), ""), "N/A")</f>
        <v/>
      </c>
      <c r="X31" s="200" t="str">
        <f>IF(EInfo_ACM[[#This Row],[Assets]]&lt;&gt;"", IF(Assets!F29&lt;&gt;"", Assets!F29, "Please complete the Mapping_Asset_Interfaces tab"), "")</f>
        <v/>
      </c>
      <c r="Y31" s="91" t="str">
        <f>Assets!N29</f>
        <v/>
      </c>
      <c r="Z31" s="347"/>
      <c r="AA31" s="349" t="str" cm="1">
        <f t="array" ref="AA31">IFERROR(IF($Y31&lt;&gt;"",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31" s="201"/>
      <c r="AC31" s="105"/>
      <c r="AD31" s="106"/>
      <c r="AE31" s="106"/>
      <c r="AF31" s="354" t="str">
        <f>IFERROR(IF($A31&lt;&gt;"",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31" s="352"/>
      <c r="AH31" s="133" t="str">
        <f>IFERROR(IF($A31&lt;&gt;"",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31" s="352"/>
      <c r="AJ31" s="105"/>
      <c r="AK31" s="354" t="str">
        <f>IFERROR(IF($A31&lt;&gt;"",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31" s="352"/>
      <c r="AM31" s="114"/>
      <c r="AN31" s="107"/>
      <c r="AO31" s="354" t="str">
        <f>IFERROR(IF($A31&lt;&gt;"",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31" s="86"/>
      <c r="AQ31" s="349" t="str">
        <f>IFERROR(IF($A31&lt;&gt;"",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31" s="87"/>
      <c r="AS31" s="202" t="str">
        <f>IF($A31&lt;&gt;"",
IF(Assets!H29&lt;&gt;"",Assets!H29,"Please complete the SSM column in the Asset sheet"),"")</f>
        <v/>
      </c>
      <c r="AT31" s="106"/>
      <c r="AU31" s="354" t="str">
        <f>IFERROR(IF(AND($A31&lt;&gt;"",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31" s="87"/>
      <c r="AW31" s="356" t="str" cm="1">
        <f t="array" ref="AW31">IFERROR(IF(AND($A31&lt;&gt;"",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31" s="93"/>
      <c r="AY31" s="94"/>
      <c r="AZ31" s="94"/>
      <c r="BA31" s="94"/>
      <c r="BB31" s="358"/>
      <c r="BC31" s="356" t="str" cm="1">
        <f t="array" ref="BC31">IFERROR(IF(AND($A31&lt;&gt;"",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31" s="93"/>
      <c r="BE31" s="94"/>
      <c r="BF31" s="94"/>
      <c r="BG31" s="123"/>
      <c r="BH31" s="585" t="str">
        <f>IF($A31&lt;&gt;"",
IF(Assets!I29&lt;&gt;"",Assets!I29,"Please complete the SCM column in the Asset sheet"),"")</f>
        <v/>
      </c>
      <c r="BI31" s="581"/>
      <c r="BJ31" s="387" t="str">
        <f>IFERROR(IF(AND($A31&lt;&gt;"",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31" s="330" t="str" cm="1">
        <f t="array" ref="BK31">IF($A31&lt;&gt;"",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31" s="204" t="str">
        <f>Assets!P29</f>
        <v/>
      </c>
      <c r="BM31" s="205" t="str">
        <f>Assets!Q29</f>
        <v/>
      </c>
      <c r="BN31" s="161"/>
      <c r="BO31" s="389" t="str">
        <f>IF($A31&lt;&gt;"",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31" s="86"/>
      <c r="BQ31" s="389" t="str">
        <f>IFERROR(IF($A31&lt;&gt;"",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31" s="86"/>
      <c r="BS31" s="389" t="str">
        <f>IF($A31&lt;&gt;"",
   IF(EInfo_ACM[[#This Row],[List of network interfaces]]&lt;&gt;"",
   _xlfn.TEXTJOIN(", "&amp;CHAR(10),TRUE, "E.Info.SCM-1.SCM.States", "E.Info.SCM-1.SCM.SecObjectives"), ""), "")</f>
        <v/>
      </c>
      <c r="BT31" s="86"/>
      <c r="BU31" s="391" t="str">
        <f>IFERROR(IF(AND($A31&lt;&gt;"",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31" s="93"/>
      <c r="BW31" s="94"/>
      <c r="BX31" s="94"/>
      <c r="BY31" s="94"/>
      <c r="BZ31" s="358"/>
      <c r="CA31" s="391" t="str">
        <f>IFERROR(IF(AND($A31&lt;&gt;"",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31" s="93"/>
      <c r="CC31" s="94"/>
      <c r="CD31" s="358"/>
      <c r="CE31" s="130" t="str">
        <f>IFERROR(IF(AND($A31&lt;&gt;"",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31" s="93"/>
      <c r="CG31" s="94"/>
      <c r="CH31" s="94"/>
      <c r="CI31" s="358"/>
      <c r="CJ31" s="401"/>
      <c r="CK31" s="394" t="str" cm="1">
        <f t="array" ref="CK31">IFERROR(IF($A31&lt;&gt;"",
     _xlfn.IFS(EInfo_ACM[[#This Row],[E.Info.DT.DLM-1]]="N/A", "N/A", AND(VALUE(RIGHT(EInfo_ACM[[#This Row],[E.Info.DT.DLM-1]]))=1, OR(EInfo_ACM[[#This Row],[Type]]="Privacy", AND(Assets!E29="Sensitive", EInfo_ACM[[#This Row],[Type]]="Security", Assets!D29="Parameter"))), "E.Info.DLM-1.DLM"), ""), "")</f>
        <v/>
      </c>
      <c r="CL31" s="397"/>
      <c r="CM31" s="120"/>
      <c r="CN31" s="142" t="str">
        <f>IFERROR(IF($A31&lt;&gt;"",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31" s="143"/>
      <c r="CP31" s="110" t="str">
        <f>IF($A31&lt;&gt;"",
IF(Assets!J29&lt;&gt;"",Assets!J29,"Please complete the CCK column in the Asset sheet"),"")</f>
        <v/>
      </c>
      <c r="CQ31" s="209"/>
      <c r="CR31" s="404" t="str">
        <f>IFERROR(IF($A31&lt;&gt;"",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31" s="86"/>
      <c r="CT31" s="210"/>
      <c r="CU31" s="404" t="str">
        <f>IFERROR(IF($A31&lt;&gt;"",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31" s="86"/>
      <c r="CW31" s="210"/>
      <c r="CX31" s="330" t="str">
        <f>IFERROR(IF($A31&lt;&gt;"",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31" s="86"/>
      <c r="CZ31" s="14"/>
    </row>
    <row r="32" spans="1:104" x14ac:dyDescent="0.3">
      <c r="A32" s="241" t="str">
        <f>IF(Assets!A30="", "", Assets!A30)</f>
        <v/>
      </c>
      <c r="B32" s="141" t="str">
        <f>IF(Assets!C30="", "", Assets!C30)</f>
        <v/>
      </c>
      <c r="C32" s="191"/>
      <c r="D32" s="330" t="str" cm="1">
        <f t="array" ref="D32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AND(Assets!E30="Sensitive", EInfo_ACM[[#This Row],[Type]]="Security", Assets!D30="Parameter"), "E.Info.DLM-1.SenSecParam"), ""), ""),
          IF(EInfo_ACM[[#This Row],[Type]]="Privacy", "E.Info.UNM-1.PersonalInformation", ""),
          "E.Info.GEC-1."&amp;EInfo_ACM[[#This Row],[Type]]&amp;"Asset"
),""), "")</f>
        <v/>
      </c>
      <c r="E32" s="89" t="str">
        <f>IF(Assets!B30="", "", Assets!B30)</f>
        <v/>
      </c>
      <c r="F32" s="186" t="str">
        <f>IF(EInfo_ACM[[#This Row],[Type]]&lt;&gt;"", _xlfn.TEXTJOIN(", "&amp;CHAR(10), TRUE, "E.Info.ACM-1."&amp;EInfo_ACM[[#This Row],[Type]]&amp;"Asset.Access"), "")</f>
        <v/>
      </c>
      <c r="G32" s="192" t="str">
        <f>IF(EInfo_ACM[[#This Row],[Assets]]&lt;&gt;"", IF(Assets!G30&lt;&gt;"", Assets!G30, "Please complete the Mapping_Asset_Entities tab"), "")</f>
        <v/>
      </c>
      <c r="H32" s="330" t="str" cm="1">
        <f t="array" ref="H32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32" s="52"/>
      <c r="J32" s="120"/>
      <c r="K32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32" s="87"/>
      <c r="M32" s="210"/>
      <c r="N32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32" s="87"/>
      <c r="P32" s="342"/>
      <c r="Q32" s="115"/>
      <c r="R32" s="171"/>
      <c r="S32" s="111"/>
      <c r="T32" s="112"/>
      <c r="U32" s="113"/>
      <c r="V32" s="113"/>
      <c r="W32" s="344" t="str" cm="1">
        <f t="array" ref="W32">IFERROR(IF($Y32&lt;&gt;"",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TRUE)&amp;".ACM."&amp;_xlfn.TEXTSPLIT(Assets!N30, ", "&amp;CHAR(10))&amp;"Interface"), "N/A"), ""), "N/A")</f>
        <v/>
      </c>
      <c r="X32" s="200" t="str">
        <f>IF(EInfo_ACM[[#This Row],[Assets]]&lt;&gt;"", IF(Assets!F30&lt;&gt;"", Assets!F30, "Please complete the Mapping_Asset_Interfaces tab"), "")</f>
        <v/>
      </c>
      <c r="Y32" s="91" t="str">
        <f>Assets!N30</f>
        <v/>
      </c>
      <c r="Z32" s="347"/>
      <c r="AA32" s="349" t="str" cm="1">
        <f t="array" ref="AA32">IFERROR(IF($Y32&lt;&gt;"",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32" s="201"/>
      <c r="AC32" s="105"/>
      <c r="AD32" s="106"/>
      <c r="AE32" s="106"/>
      <c r="AF32" s="354" t="str">
        <f>IFERROR(IF($A32&lt;&gt;"",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32" s="352"/>
      <c r="AH32" s="133" t="str">
        <f>IFERROR(IF($A32&lt;&gt;"",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32" s="352"/>
      <c r="AJ32" s="105"/>
      <c r="AK32" s="354" t="str">
        <f>IFERROR(IF($A32&lt;&gt;"",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32" s="352"/>
      <c r="AM32" s="114"/>
      <c r="AN32" s="107"/>
      <c r="AO32" s="354" t="str">
        <f>IFERROR(IF($A32&lt;&gt;"",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32" s="86"/>
      <c r="AQ32" s="349" t="str">
        <f>IFERROR(IF($A32&lt;&gt;"",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32" s="103"/>
      <c r="AS32" s="202" t="str">
        <f>IF($A32&lt;&gt;"",
IF(Assets!H30&lt;&gt;"",Assets!H30,"Please complete the SSM column in the Asset sheet"),"")</f>
        <v/>
      </c>
      <c r="AT32" s="106"/>
      <c r="AU32" s="354" t="str">
        <f>IFERROR(IF(AND($A32&lt;&gt;"",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32" s="103"/>
      <c r="AW32" s="356" t="str" cm="1">
        <f t="array" ref="AW32">IFERROR(IF(AND($A32&lt;&gt;"",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32" s="93"/>
      <c r="AY32" s="94"/>
      <c r="AZ32" s="94"/>
      <c r="BA32" s="94"/>
      <c r="BB32" s="358"/>
      <c r="BC32" s="356" t="str" cm="1">
        <f t="array" ref="BC32">IFERROR(IF(AND($A32&lt;&gt;"",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32" s="93"/>
      <c r="BE32" s="94"/>
      <c r="BF32" s="94"/>
      <c r="BG32" s="123"/>
      <c r="BH32" s="585" t="str">
        <f>IF($A32&lt;&gt;"",
IF(Assets!I30&lt;&gt;"",Assets!I30,"Please complete the SCM column in the Asset sheet"),"")</f>
        <v/>
      </c>
      <c r="BI32" s="581"/>
      <c r="BJ32" s="387" t="str">
        <f>IFERROR(IF(AND($A32&lt;&gt;"",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32" s="330" t="str" cm="1">
        <f t="array" ref="BK32">IF($A32&lt;&gt;"",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32" s="204" t="str">
        <f>Assets!P30</f>
        <v/>
      </c>
      <c r="BM32" s="205" t="str">
        <f>Assets!Q30</f>
        <v/>
      </c>
      <c r="BN32" s="207"/>
      <c r="BO32" s="389" t="str">
        <f>IF($A32&lt;&gt;"",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32" s="116"/>
      <c r="BQ32" s="389" t="str">
        <f>IFERROR(IF($A32&lt;&gt;"",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32" s="116"/>
      <c r="BS32" s="389" t="str">
        <f>IF($A32&lt;&gt;"",
   IF(EInfo_ACM[[#This Row],[List of network interfaces]]&lt;&gt;"",
   _xlfn.TEXTJOIN(", "&amp;CHAR(10),TRUE, "E.Info.SCM-1.SCM.States", "E.Info.SCM-1.SCM.SecObjectives"), ""), "")</f>
        <v/>
      </c>
      <c r="BT32" s="116"/>
      <c r="BU32" s="391" t="str">
        <f>IFERROR(IF(AND($A32&lt;&gt;"",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32" s="93"/>
      <c r="BW32" s="94"/>
      <c r="BX32" s="94"/>
      <c r="BY32" s="94"/>
      <c r="BZ32" s="358"/>
      <c r="CA32" s="391" t="str">
        <f>IFERROR(IF(AND($A32&lt;&gt;"",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32" s="93"/>
      <c r="CC32" s="94"/>
      <c r="CD32" s="358"/>
      <c r="CE32" s="130" t="str">
        <f>IFERROR(IF(AND($A32&lt;&gt;"",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32" s="93"/>
      <c r="CG32" s="94"/>
      <c r="CH32" s="94"/>
      <c r="CI32" s="358"/>
      <c r="CJ32" s="401"/>
      <c r="CK32" s="394" t="str" cm="1">
        <f t="array" ref="CK32">IFERROR(IF($A32&lt;&gt;"",
     _xlfn.IFS(EInfo_ACM[[#This Row],[E.Info.DT.DLM-1]]="N/A", "N/A", AND(VALUE(RIGHT(EInfo_ACM[[#This Row],[E.Info.DT.DLM-1]]))=1, OR(EInfo_ACM[[#This Row],[Type]]="Privacy", AND(Assets!E30="Sensitive", EInfo_ACM[[#This Row],[Type]]="Security", Assets!D30="Parameter"))), "E.Info.DLM-1.DLM"), ""), "")</f>
        <v/>
      </c>
      <c r="CL32" s="397"/>
      <c r="CM32" s="120"/>
      <c r="CN32" s="142" t="str">
        <f>IFERROR(IF($A32&lt;&gt;"",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32" s="143"/>
      <c r="CP32" s="110" t="str">
        <f>IF($A32&lt;&gt;"",
IF(Assets!J30&lt;&gt;"",Assets!J30,"Please complete the CCK column in the Asset sheet"),"")</f>
        <v/>
      </c>
      <c r="CQ32" s="209"/>
      <c r="CR32" s="404" t="str">
        <f>IFERROR(IF($A32&lt;&gt;"",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32" s="86"/>
      <c r="CT32" s="210"/>
      <c r="CU32" s="404" t="str">
        <f>IFERROR(IF($A32&lt;&gt;"",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32" s="86"/>
      <c r="CW32" s="210"/>
      <c r="CX32" s="330" t="str">
        <f>IFERROR(IF($A32&lt;&gt;"",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32" s="86"/>
      <c r="CZ32" s="14"/>
    </row>
    <row r="33" spans="1:104" x14ac:dyDescent="0.3">
      <c r="A33" s="241" t="str">
        <f>IF(Assets!A31="", "", Assets!A31)</f>
        <v/>
      </c>
      <c r="B33" s="141" t="str">
        <f>IF(Assets!C31="", "", Assets!C31)</f>
        <v/>
      </c>
      <c r="C33" s="191"/>
      <c r="D33" s="330" t="str" cm="1">
        <f t="array" ref="D33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AND(Assets!E31="Sensitive", EInfo_ACM[[#This Row],[Type]]="Security", Assets!D31="Parameter"), "E.Info.DLM-1.SenSecParam"), ""), ""),
          IF(EInfo_ACM[[#This Row],[Type]]="Privacy", "E.Info.UNM-1.PersonalInformation", ""),
          "E.Info.GEC-1."&amp;EInfo_ACM[[#This Row],[Type]]&amp;"Asset"
),""), "")</f>
        <v/>
      </c>
      <c r="E33" s="89" t="str">
        <f>IF(Assets!B31="", "", Assets!B31)</f>
        <v/>
      </c>
      <c r="F33" s="186" t="str">
        <f>IF(EInfo_ACM[[#This Row],[Type]]&lt;&gt;"", _xlfn.TEXTJOIN(", "&amp;CHAR(10), TRUE, "E.Info.ACM-1."&amp;EInfo_ACM[[#This Row],[Type]]&amp;"Asset.Access"), "")</f>
        <v/>
      </c>
      <c r="G33" s="192" t="str">
        <f>IF(EInfo_ACM[[#This Row],[Assets]]&lt;&gt;"", IF(Assets!G31&lt;&gt;"", Assets!G31, "Please complete the Mapping_Asset_Entities tab"), "")</f>
        <v/>
      </c>
      <c r="H33" s="330" t="str" cm="1">
        <f t="array" ref="H33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33" s="52"/>
      <c r="J33" s="120"/>
      <c r="K33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33" s="87"/>
      <c r="M33" s="210"/>
      <c r="N33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33" s="87"/>
      <c r="P33" s="342"/>
      <c r="Q33" s="115"/>
      <c r="R33" s="171"/>
      <c r="S33" s="111"/>
      <c r="T33" s="112"/>
      <c r="U33" s="113"/>
      <c r="V33" s="113"/>
      <c r="W33" s="344" t="str" cm="1">
        <f t="array" ref="W33">IFERROR(IF($Y33&lt;&gt;"",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TRUE)&amp;".ACM."&amp;_xlfn.TEXTSPLIT(Assets!N31, ", "&amp;CHAR(10))&amp;"Interface"), "N/A"), ""), "N/A")</f>
        <v/>
      </c>
      <c r="X33" s="200" t="str">
        <f>IF(EInfo_ACM[[#This Row],[Assets]]&lt;&gt;"", IF(Assets!F31&lt;&gt;"", Assets!F31, "Please complete the Mapping_Asset_Interfaces tab"), "")</f>
        <v/>
      </c>
      <c r="Y33" s="91" t="str">
        <f>Assets!N31</f>
        <v/>
      </c>
      <c r="Z33" s="347"/>
      <c r="AA33" s="349" t="str" cm="1">
        <f t="array" ref="AA33">IFERROR(IF($Y33&lt;&gt;"",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33" s="201"/>
      <c r="AC33" s="105"/>
      <c r="AD33" s="106"/>
      <c r="AE33" s="106"/>
      <c r="AF33" s="354" t="str">
        <f>IFERROR(IF($A33&lt;&gt;"",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33" s="352"/>
      <c r="AH33" s="133" t="str">
        <f>IFERROR(IF($A33&lt;&gt;"",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33" s="352"/>
      <c r="AJ33" s="105"/>
      <c r="AK33" s="354" t="str">
        <f>IFERROR(IF($A33&lt;&gt;"",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33" s="352"/>
      <c r="AM33" s="114"/>
      <c r="AN33" s="107"/>
      <c r="AO33" s="354" t="str">
        <f>IFERROR(IF($A33&lt;&gt;"",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33" s="86"/>
      <c r="AQ33" s="349" t="str">
        <f>IFERROR(IF($A33&lt;&gt;"",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33" s="103"/>
      <c r="AS33" s="202" t="str">
        <f>IF($A33&lt;&gt;"",
IF(Assets!H31&lt;&gt;"",Assets!H31,"Please complete the SSM column in the Asset sheet"),"")</f>
        <v/>
      </c>
      <c r="AT33" s="106"/>
      <c r="AU33" s="354" t="str">
        <f>IFERROR(IF(AND($A33&lt;&gt;"",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33" s="103"/>
      <c r="AW33" s="356" t="str" cm="1">
        <f t="array" ref="AW33">IFERROR(IF(AND($A33&lt;&gt;"",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33" s="93"/>
      <c r="AY33" s="94"/>
      <c r="AZ33" s="94"/>
      <c r="BA33" s="94"/>
      <c r="BB33" s="358"/>
      <c r="BC33" s="356" t="str" cm="1">
        <f t="array" ref="BC33">IFERROR(IF(AND($A33&lt;&gt;"",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33" s="93"/>
      <c r="BE33" s="94"/>
      <c r="BF33" s="94"/>
      <c r="BG33" s="123"/>
      <c r="BH33" s="585" t="str">
        <f>IF($A33&lt;&gt;"",
IF(Assets!I31&lt;&gt;"",Assets!I31,"Please complete the SCM column in the Asset sheet"),"")</f>
        <v/>
      </c>
      <c r="BI33" s="581"/>
      <c r="BJ33" s="387" t="str">
        <f>IFERROR(IF(AND($A33&lt;&gt;"",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33" s="330" t="str" cm="1">
        <f t="array" ref="BK33">IF($A33&lt;&gt;"",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33" s="204" t="str">
        <f>Assets!P31</f>
        <v/>
      </c>
      <c r="BM33" s="205" t="str">
        <f>Assets!Q31</f>
        <v/>
      </c>
      <c r="BN33" s="207"/>
      <c r="BO33" s="389" t="str">
        <f>IF($A33&lt;&gt;"",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33" s="116"/>
      <c r="BQ33" s="389" t="str">
        <f>IFERROR(IF($A33&lt;&gt;"",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33" s="116"/>
      <c r="BS33" s="389" t="str">
        <f>IF($A33&lt;&gt;"",
   IF(EInfo_ACM[[#This Row],[List of network interfaces]]&lt;&gt;"",
   _xlfn.TEXTJOIN(", "&amp;CHAR(10),TRUE, "E.Info.SCM-1.SCM.States", "E.Info.SCM-1.SCM.SecObjectives"), ""), "")</f>
        <v/>
      </c>
      <c r="BT33" s="116"/>
      <c r="BU33" s="391" t="str">
        <f>IFERROR(IF(AND($A33&lt;&gt;"",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33" s="93"/>
      <c r="BW33" s="94"/>
      <c r="BX33" s="94"/>
      <c r="BY33" s="94"/>
      <c r="BZ33" s="358"/>
      <c r="CA33" s="391" t="str">
        <f>IFERROR(IF(AND($A33&lt;&gt;"",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33" s="93"/>
      <c r="CC33" s="94"/>
      <c r="CD33" s="358"/>
      <c r="CE33" s="130" t="str">
        <f>IFERROR(IF(AND($A33&lt;&gt;"",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33" s="93"/>
      <c r="CG33" s="94"/>
      <c r="CH33" s="94"/>
      <c r="CI33" s="358"/>
      <c r="CJ33" s="401"/>
      <c r="CK33" s="394" t="str" cm="1">
        <f t="array" ref="CK33">IFERROR(IF($A33&lt;&gt;"",
     _xlfn.IFS(EInfo_ACM[[#This Row],[E.Info.DT.DLM-1]]="N/A", "N/A", AND(VALUE(RIGHT(EInfo_ACM[[#This Row],[E.Info.DT.DLM-1]]))=1, OR(EInfo_ACM[[#This Row],[Type]]="Privacy", AND(Assets!E31="Sensitive", EInfo_ACM[[#This Row],[Type]]="Security", Assets!D31="Parameter"))), "E.Info.DLM-1.DLM"), ""), "")</f>
        <v/>
      </c>
      <c r="CL33" s="397"/>
      <c r="CM33" s="120"/>
      <c r="CN33" s="142" t="str">
        <f>IFERROR(IF($A33&lt;&gt;"",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33" s="143"/>
      <c r="CP33" s="110" t="str">
        <f>IF($A33&lt;&gt;"",
IF(Assets!J31&lt;&gt;"",Assets!J31,"Please complete the CCK column in the Asset sheet"),"")</f>
        <v/>
      </c>
      <c r="CQ33" s="209"/>
      <c r="CR33" s="404" t="str">
        <f>IFERROR(IF($A33&lt;&gt;"",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33" s="86"/>
      <c r="CT33" s="210"/>
      <c r="CU33" s="404" t="str">
        <f>IFERROR(IF($A33&lt;&gt;"",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33" s="86"/>
      <c r="CW33" s="210"/>
      <c r="CX33" s="330" t="str">
        <f>IFERROR(IF($A33&lt;&gt;"",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33" s="86"/>
      <c r="CZ33" s="14"/>
    </row>
    <row r="34" spans="1:104" x14ac:dyDescent="0.3">
      <c r="A34" s="241" t="str">
        <f>IF(Assets!A32="", "", Assets!A32)</f>
        <v/>
      </c>
      <c r="B34" s="141" t="str">
        <f>IF(Assets!C32="", "", Assets!C32)</f>
        <v/>
      </c>
      <c r="C34" s="191"/>
      <c r="D34" s="330" t="str" cm="1">
        <f t="array" ref="D34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AND(Assets!E32="Sensitive", EInfo_ACM[[#This Row],[Type]]="Security", Assets!D32="Parameter"), "E.Info.DLM-1.SenSecParam"), ""), ""),
          IF(EInfo_ACM[[#This Row],[Type]]="Privacy", "E.Info.UNM-1.PersonalInformation", ""),
          "E.Info.GEC-1."&amp;EInfo_ACM[[#This Row],[Type]]&amp;"Asset"
),""), "")</f>
        <v/>
      </c>
      <c r="E34" s="89" t="str">
        <f>IF(Assets!B32="", "", Assets!B32)</f>
        <v/>
      </c>
      <c r="F34" s="186" t="str">
        <f>IF(EInfo_ACM[[#This Row],[Type]]&lt;&gt;"", _xlfn.TEXTJOIN(", "&amp;CHAR(10), TRUE, "E.Info.ACM-1."&amp;EInfo_ACM[[#This Row],[Type]]&amp;"Asset.Access"), "")</f>
        <v/>
      </c>
      <c r="G34" s="192" t="str">
        <f>IF(EInfo_ACM[[#This Row],[Assets]]&lt;&gt;"", IF(Assets!G32&lt;&gt;"", Assets!G32, "Please complete the Mapping_Asset_Entities tab"), "")</f>
        <v/>
      </c>
      <c r="H34" s="330" t="str" cm="1">
        <f t="array" ref="H34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34" s="52"/>
      <c r="J34" s="120"/>
      <c r="K34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34" s="87"/>
      <c r="M34" s="210"/>
      <c r="N34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34" s="87"/>
      <c r="P34" s="342"/>
      <c r="Q34" s="115"/>
      <c r="R34" s="171"/>
      <c r="S34" s="111"/>
      <c r="T34" s="112"/>
      <c r="U34" s="113"/>
      <c r="V34" s="113"/>
      <c r="W34" s="344" t="str" cm="1">
        <f t="array" ref="W34">IFERROR(IF($Y34&lt;&gt;"",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TRUE)&amp;".ACM."&amp;_xlfn.TEXTSPLIT(Assets!N32, ", "&amp;CHAR(10))&amp;"Interface"), "N/A"), ""), "N/A")</f>
        <v/>
      </c>
      <c r="X34" s="200" t="str">
        <f>IF(EInfo_ACM[[#This Row],[Assets]]&lt;&gt;"", IF(Assets!F32&lt;&gt;"", Assets!F32, "Please complete the Mapping_Asset_Interfaces tab"), "")</f>
        <v/>
      </c>
      <c r="Y34" s="91" t="str">
        <f>Assets!N32</f>
        <v/>
      </c>
      <c r="Z34" s="347"/>
      <c r="AA34" s="349" t="str" cm="1">
        <f t="array" ref="AA34">IFERROR(IF($Y34&lt;&gt;"",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34" s="201"/>
      <c r="AC34" s="105"/>
      <c r="AD34" s="106"/>
      <c r="AE34" s="106"/>
      <c r="AF34" s="354" t="str">
        <f>IFERROR(IF($A34&lt;&gt;"",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34" s="352"/>
      <c r="AH34" s="133" t="str">
        <f>IFERROR(IF($A34&lt;&gt;"",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34" s="352"/>
      <c r="AJ34" s="105"/>
      <c r="AK34" s="354" t="str">
        <f>IFERROR(IF($A34&lt;&gt;"",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34" s="352"/>
      <c r="AM34" s="114"/>
      <c r="AN34" s="107"/>
      <c r="AO34" s="354" t="str">
        <f>IFERROR(IF($A34&lt;&gt;"",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34" s="86"/>
      <c r="AQ34" s="349" t="str">
        <f>IFERROR(IF($A34&lt;&gt;"",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34" s="104"/>
      <c r="AS34" s="202" t="str">
        <f>IF($A34&lt;&gt;"",
IF(Assets!H32&lt;&gt;"",Assets!H32,"Please complete the SSM column in the Asset sheet"),"")</f>
        <v/>
      </c>
      <c r="AT34" s="106"/>
      <c r="AU34" s="354" t="str">
        <f>IFERROR(IF(AND($A34&lt;&gt;"",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34" s="104"/>
      <c r="AW34" s="356" t="str" cm="1">
        <f t="array" ref="AW34">IFERROR(IF(AND($A34&lt;&gt;"",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34" s="93"/>
      <c r="AY34" s="94"/>
      <c r="AZ34" s="94"/>
      <c r="BA34" s="94"/>
      <c r="BB34" s="358"/>
      <c r="BC34" s="356" t="str" cm="1">
        <f t="array" ref="BC34">IFERROR(IF(AND($A34&lt;&gt;"",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34" s="93"/>
      <c r="BE34" s="94"/>
      <c r="BF34" s="94"/>
      <c r="BG34" s="123"/>
      <c r="BH34" s="585" t="str">
        <f>IF($A34&lt;&gt;"",
IF(Assets!I32&lt;&gt;"",Assets!I32,"Please complete the SCM column in the Asset sheet"),"")</f>
        <v/>
      </c>
      <c r="BI34" s="581"/>
      <c r="BJ34" s="387" t="str">
        <f>IFERROR(IF(AND($A34&lt;&gt;"",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34" s="330" t="str" cm="1">
        <f t="array" ref="BK34">IF($A34&lt;&gt;"",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34" s="204" t="str">
        <f>Assets!P32</f>
        <v/>
      </c>
      <c r="BM34" s="205" t="str">
        <f>Assets!Q32</f>
        <v/>
      </c>
      <c r="BN34" s="208"/>
      <c r="BO34" s="389" t="str">
        <f>IF($A34&lt;&gt;"",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34" s="117"/>
      <c r="BQ34" s="389" t="str">
        <f>IFERROR(IF($A34&lt;&gt;"",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34" s="117"/>
      <c r="BS34" s="389" t="str">
        <f>IF($A34&lt;&gt;"",
   IF(EInfo_ACM[[#This Row],[List of network interfaces]]&lt;&gt;"",
   _xlfn.TEXTJOIN(", "&amp;CHAR(10),TRUE, "E.Info.SCM-1.SCM.States", "E.Info.SCM-1.SCM.SecObjectives"), ""), "")</f>
        <v/>
      </c>
      <c r="BT34" s="117"/>
      <c r="BU34" s="391" t="str">
        <f>IFERROR(IF(AND($A34&lt;&gt;"",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34" s="93"/>
      <c r="BW34" s="94"/>
      <c r="BX34" s="94"/>
      <c r="BY34" s="94"/>
      <c r="BZ34" s="358"/>
      <c r="CA34" s="391" t="str">
        <f>IFERROR(IF(AND($A34&lt;&gt;"",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34" s="93"/>
      <c r="CC34" s="94"/>
      <c r="CD34" s="358"/>
      <c r="CE34" s="130" t="str">
        <f>IFERROR(IF(AND($A34&lt;&gt;"",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34" s="93"/>
      <c r="CG34" s="94"/>
      <c r="CH34" s="94"/>
      <c r="CI34" s="358"/>
      <c r="CJ34" s="401"/>
      <c r="CK34" s="394" t="str" cm="1">
        <f t="array" ref="CK34">IFERROR(IF($A34&lt;&gt;"",
     _xlfn.IFS(EInfo_ACM[[#This Row],[E.Info.DT.DLM-1]]="N/A", "N/A", AND(VALUE(RIGHT(EInfo_ACM[[#This Row],[E.Info.DT.DLM-1]]))=1, OR(EInfo_ACM[[#This Row],[Type]]="Privacy", AND(Assets!E32="Sensitive", EInfo_ACM[[#This Row],[Type]]="Security", Assets!D32="Parameter"))), "E.Info.DLM-1.DLM"), ""), "")</f>
        <v/>
      </c>
      <c r="CL34" s="397"/>
      <c r="CM34" s="120"/>
      <c r="CN34" s="142" t="str">
        <f>IFERROR(IF($A34&lt;&gt;"",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34" s="143"/>
      <c r="CP34" s="110" t="str">
        <f>IF($A34&lt;&gt;"",
IF(Assets!J32&lt;&gt;"",Assets!J32,"Please complete the CCK column in the Asset sheet"),"")</f>
        <v/>
      </c>
      <c r="CQ34" s="209"/>
      <c r="CR34" s="404" t="str">
        <f>IFERROR(IF($A34&lt;&gt;"",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34" s="86"/>
      <c r="CT34" s="210"/>
      <c r="CU34" s="404" t="str">
        <f>IFERROR(IF($A34&lt;&gt;"",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34" s="86"/>
      <c r="CW34" s="210"/>
      <c r="CX34" s="330" t="str">
        <f>IFERROR(IF($A34&lt;&gt;"",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34" s="86"/>
      <c r="CZ34" s="14"/>
    </row>
    <row r="35" spans="1:104" x14ac:dyDescent="0.3">
      <c r="A35" s="241" t="str">
        <f>IF(Assets!A33="", "", Assets!A33)</f>
        <v/>
      </c>
      <c r="B35" s="141" t="str">
        <f>IF(Assets!C33="", "", Assets!C33)</f>
        <v/>
      </c>
      <c r="C35" s="191"/>
      <c r="D35" s="330" t="str" cm="1">
        <f t="array" ref="D35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AND(Assets!E33="Sensitive", EInfo_ACM[[#This Row],[Type]]="Security", Assets!D33="Parameter"), "E.Info.DLM-1.SenSecParam"), ""), ""),
          IF(EInfo_ACM[[#This Row],[Type]]="Privacy", "E.Info.UNM-1.PersonalInformation", ""),
          "E.Info.GEC-1."&amp;EInfo_ACM[[#This Row],[Type]]&amp;"Asset"
),""), "")</f>
        <v/>
      </c>
      <c r="E35" s="89" t="str">
        <f>IF(Assets!B33="", "", Assets!B33)</f>
        <v/>
      </c>
      <c r="F35" s="186" t="str">
        <f>IF(EInfo_ACM[[#This Row],[Type]]&lt;&gt;"", _xlfn.TEXTJOIN(", "&amp;CHAR(10), TRUE, "E.Info.ACM-1."&amp;EInfo_ACM[[#This Row],[Type]]&amp;"Asset.Access"), "")</f>
        <v/>
      </c>
      <c r="G35" s="192" t="str">
        <f>IF(EInfo_ACM[[#This Row],[Assets]]&lt;&gt;"", IF(Assets!G33&lt;&gt;"", Assets!G33, "Please complete the Mapping_Asset_Entities tab"), "")</f>
        <v/>
      </c>
      <c r="H35" s="330" t="str" cm="1">
        <f t="array" ref="H35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35" s="52"/>
      <c r="J35" s="120"/>
      <c r="K35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35" s="87"/>
      <c r="M35" s="210"/>
      <c r="N35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35" s="87"/>
      <c r="P35" s="342"/>
      <c r="Q35" s="115"/>
      <c r="R35" s="171"/>
      <c r="S35" s="111"/>
      <c r="T35" s="112"/>
      <c r="U35" s="113"/>
      <c r="V35" s="113"/>
      <c r="W35" s="344" t="str" cm="1">
        <f t="array" ref="W35">IFERROR(IF($Y35&lt;&gt;"",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TRUE)&amp;".ACM."&amp;_xlfn.TEXTSPLIT(Assets!N33, ", "&amp;CHAR(10))&amp;"Interface"), "N/A"), ""), "N/A")</f>
        <v/>
      </c>
      <c r="X35" s="200" t="str">
        <f>IF(EInfo_ACM[[#This Row],[Assets]]&lt;&gt;"", IF(Assets!F33&lt;&gt;"", Assets!F33, "Please complete the Mapping_Asset_Interfaces tab"), "")</f>
        <v/>
      </c>
      <c r="Y35" s="91" t="str">
        <f>Assets!N33</f>
        <v/>
      </c>
      <c r="Z35" s="347"/>
      <c r="AA35" s="349" t="str" cm="1">
        <f t="array" ref="AA35">IFERROR(IF($Y35&lt;&gt;"",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35" s="201"/>
      <c r="AC35" s="105"/>
      <c r="AD35" s="106"/>
      <c r="AE35" s="106"/>
      <c r="AF35" s="354" t="str">
        <f>IFERROR(IF($A35&lt;&gt;"",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35" s="352"/>
      <c r="AH35" s="133" t="str">
        <f>IFERROR(IF($A35&lt;&gt;"",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35" s="352"/>
      <c r="AJ35" s="105"/>
      <c r="AK35" s="354" t="str">
        <f>IFERROR(IF($A35&lt;&gt;"",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35" s="352"/>
      <c r="AM35" s="114"/>
      <c r="AN35" s="107"/>
      <c r="AO35" s="354" t="str">
        <f>IFERROR(IF($A35&lt;&gt;"",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35" s="86"/>
      <c r="AQ35" s="349" t="str">
        <f>IFERROR(IF($A35&lt;&gt;"",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35" s="103"/>
      <c r="AS35" s="202" t="str">
        <f>IF($A35&lt;&gt;"",
IF(Assets!H33&lt;&gt;"",Assets!H33,"Please complete the SSM column in the Asset sheet"),"")</f>
        <v/>
      </c>
      <c r="AT35" s="106"/>
      <c r="AU35" s="354" t="str">
        <f>IFERROR(IF(AND($A35&lt;&gt;"",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35" s="103"/>
      <c r="AW35" s="356" t="str" cm="1">
        <f t="array" ref="AW35">IFERROR(IF(AND($A35&lt;&gt;"",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35" s="93"/>
      <c r="AY35" s="94"/>
      <c r="AZ35" s="94"/>
      <c r="BA35" s="94"/>
      <c r="BB35" s="358"/>
      <c r="BC35" s="356" t="str" cm="1">
        <f t="array" ref="BC35">IFERROR(IF(AND($A35&lt;&gt;"",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35" s="93"/>
      <c r="BE35" s="94"/>
      <c r="BF35" s="94"/>
      <c r="BG35" s="123"/>
      <c r="BH35" s="585" t="str">
        <f>IF($A35&lt;&gt;"",
IF(Assets!I33&lt;&gt;"",Assets!I33,"Please complete the SCM column in the Asset sheet"),"")</f>
        <v/>
      </c>
      <c r="BI35" s="581"/>
      <c r="BJ35" s="387" t="str">
        <f>IFERROR(IF(AND($A35&lt;&gt;"",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35" s="330" t="str" cm="1">
        <f t="array" ref="BK35">IF($A35&lt;&gt;"",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35" s="204" t="str">
        <f>Assets!P33</f>
        <v/>
      </c>
      <c r="BM35" s="205" t="str">
        <f>Assets!Q33</f>
        <v/>
      </c>
      <c r="BN35" s="207"/>
      <c r="BO35" s="389" t="str">
        <f>IF($A35&lt;&gt;"",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35" s="116"/>
      <c r="BQ35" s="389" t="str">
        <f>IFERROR(IF($A35&lt;&gt;"",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35" s="116"/>
      <c r="BS35" s="389" t="str">
        <f>IF($A35&lt;&gt;"",
   IF(EInfo_ACM[[#This Row],[List of network interfaces]]&lt;&gt;"",
   _xlfn.TEXTJOIN(", "&amp;CHAR(10),TRUE, "E.Info.SCM-1.SCM.States", "E.Info.SCM-1.SCM.SecObjectives"), ""), "")</f>
        <v/>
      </c>
      <c r="BT35" s="116"/>
      <c r="BU35" s="391" t="str">
        <f>IFERROR(IF(AND($A35&lt;&gt;"",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35" s="93"/>
      <c r="BW35" s="94"/>
      <c r="BX35" s="94"/>
      <c r="BY35" s="94"/>
      <c r="BZ35" s="358"/>
      <c r="CA35" s="391" t="str">
        <f>IFERROR(IF(AND($A35&lt;&gt;"",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35" s="93"/>
      <c r="CC35" s="94"/>
      <c r="CD35" s="358"/>
      <c r="CE35" s="130" t="str">
        <f>IFERROR(IF(AND($A35&lt;&gt;"",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35" s="93"/>
      <c r="CG35" s="94"/>
      <c r="CH35" s="94"/>
      <c r="CI35" s="358"/>
      <c r="CJ35" s="401"/>
      <c r="CK35" s="394" t="str" cm="1">
        <f t="array" ref="CK35">IFERROR(IF($A35&lt;&gt;"",
     _xlfn.IFS(EInfo_ACM[[#This Row],[E.Info.DT.DLM-1]]="N/A", "N/A", AND(VALUE(RIGHT(EInfo_ACM[[#This Row],[E.Info.DT.DLM-1]]))=1, OR(EInfo_ACM[[#This Row],[Type]]="Privacy", AND(Assets!E33="Sensitive", EInfo_ACM[[#This Row],[Type]]="Security", Assets!D33="Parameter"))), "E.Info.DLM-1.DLM"), ""), "")</f>
        <v/>
      </c>
      <c r="CL35" s="397"/>
      <c r="CM35" s="120"/>
      <c r="CN35" s="142" t="str">
        <f>IFERROR(IF($A35&lt;&gt;"",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35" s="143"/>
      <c r="CP35" s="110" t="str">
        <f>IF($A35&lt;&gt;"",
IF(Assets!J33&lt;&gt;"",Assets!J33,"Please complete the CCK column in the Asset sheet"),"")</f>
        <v/>
      </c>
      <c r="CQ35" s="209"/>
      <c r="CR35" s="404" t="str">
        <f>IFERROR(IF($A35&lt;&gt;"",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35" s="86"/>
      <c r="CT35" s="210"/>
      <c r="CU35" s="404" t="str">
        <f>IFERROR(IF($A35&lt;&gt;"",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35" s="86"/>
      <c r="CW35" s="210"/>
      <c r="CX35" s="330" t="str">
        <f>IFERROR(IF($A35&lt;&gt;"",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35" s="86"/>
      <c r="CZ35" s="14"/>
    </row>
    <row r="36" spans="1:104" x14ac:dyDescent="0.3">
      <c r="A36" s="241" t="str">
        <f>IF(Assets!A34="", "", Assets!A34)</f>
        <v/>
      </c>
      <c r="B36" s="141" t="str">
        <f>IF(Assets!C34="", "", Assets!C34)</f>
        <v/>
      </c>
      <c r="C36" s="191"/>
      <c r="D36" s="330" t="str" cm="1">
        <f t="array" ref="D36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AND(Assets!E34="Sensitive", EInfo_ACM[[#This Row],[Type]]="Security", Assets!D34="Parameter"), "E.Info.DLM-1.SenSecParam"), ""), ""),
          IF(EInfo_ACM[[#This Row],[Type]]="Privacy", "E.Info.UNM-1.PersonalInformation", ""),
          "E.Info.GEC-1."&amp;EInfo_ACM[[#This Row],[Type]]&amp;"Asset"
),""), "")</f>
        <v/>
      </c>
      <c r="E36" s="89" t="str">
        <f>IF(Assets!B34="", "", Assets!B34)</f>
        <v/>
      </c>
      <c r="F36" s="186" t="str">
        <f>IF(EInfo_ACM[[#This Row],[Type]]&lt;&gt;"", _xlfn.TEXTJOIN(", "&amp;CHAR(10), TRUE, "E.Info.ACM-1."&amp;EInfo_ACM[[#This Row],[Type]]&amp;"Asset.Access"), "")</f>
        <v/>
      </c>
      <c r="G36" s="192" t="str">
        <f>IF(EInfo_ACM[[#This Row],[Assets]]&lt;&gt;"", IF(Assets!G34&lt;&gt;"", Assets!G34, "Please complete the Mapping_Asset_Entities tab"), "")</f>
        <v/>
      </c>
      <c r="H36" s="330" t="str" cm="1">
        <f t="array" ref="H36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36" s="52"/>
      <c r="J36" s="120"/>
      <c r="K36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36" s="87"/>
      <c r="M36" s="210"/>
      <c r="N36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36" s="87"/>
      <c r="P36" s="342"/>
      <c r="Q36" s="115"/>
      <c r="R36" s="171"/>
      <c r="S36" s="111"/>
      <c r="T36" s="112"/>
      <c r="U36" s="113"/>
      <c r="V36" s="113"/>
      <c r="W36" s="344" t="str" cm="1">
        <f t="array" ref="W36">IFERROR(IF($Y36&lt;&gt;"",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TRUE)&amp;".ACM."&amp;_xlfn.TEXTSPLIT(Assets!N34, ", "&amp;CHAR(10))&amp;"Interface"), "N/A"), ""), "N/A")</f>
        <v/>
      </c>
      <c r="X36" s="200" t="str">
        <f>IF(EInfo_ACM[[#This Row],[Assets]]&lt;&gt;"", IF(Assets!F34&lt;&gt;"", Assets!F34, "Please complete the Mapping_Asset_Interfaces tab"), "")</f>
        <v/>
      </c>
      <c r="Y36" s="91" t="str">
        <f>Assets!N34</f>
        <v/>
      </c>
      <c r="Z36" s="347"/>
      <c r="AA36" s="349" t="str" cm="1">
        <f t="array" ref="AA36">IFERROR(IF($Y36&lt;&gt;"",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36" s="201"/>
      <c r="AC36" s="105"/>
      <c r="AD36" s="106"/>
      <c r="AE36" s="106"/>
      <c r="AF36" s="354" t="str">
        <f>IFERROR(IF($A36&lt;&gt;"",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36" s="352"/>
      <c r="AH36" s="133" t="str">
        <f>IFERROR(IF($A36&lt;&gt;"",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36" s="352"/>
      <c r="AJ36" s="105"/>
      <c r="AK36" s="354" t="str">
        <f>IFERROR(IF($A36&lt;&gt;"",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36" s="352"/>
      <c r="AM36" s="114"/>
      <c r="AN36" s="107"/>
      <c r="AO36" s="354" t="str">
        <f>IFERROR(IF($A36&lt;&gt;"",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36" s="86"/>
      <c r="AQ36" s="349" t="str">
        <f>IFERROR(IF($A36&lt;&gt;"",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36" s="103"/>
      <c r="AS36" s="202" t="str">
        <f>IF($A36&lt;&gt;"",
IF(Assets!H34&lt;&gt;"",Assets!H34,"Please complete the SSM column in the Asset sheet"),"")</f>
        <v/>
      </c>
      <c r="AT36" s="106"/>
      <c r="AU36" s="354" t="str">
        <f>IFERROR(IF(AND($A36&lt;&gt;"",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36" s="103"/>
      <c r="AW36" s="356" t="str" cm="1">
        <f t="array" ref="AW36">IFERROR(IF(AND($A36&lt;&gt;"",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36" s="93"/>
      <c r="AY36" s="94"/>
      <c r="AZ36" s="94"/>
      <c r="BA36" s="94"/>
      <c r="BB36" s="358"/>
      <c r="BC36" s="356" t="str" cm="1">
        <f t="array" ref="BC36">IFERROR(IF(AND($A36&lt;&gt;"",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36" s="93"/>
      <c r="BE36" s="94"/>
      <c r="BF36" s="94"/>
      <c r="BG36" s="123"/>
      <c r="BH36" s="585" t="str">
        <f>IF($A36&lt;&gt;"",
IF(Assets!I34&lt;&gt;"",Assets!I34,"Please complete the SCM column in the Asset sheet"),"")</f>
        <v/>
      </c>
      <c r="BI36" s="581"/>
      <c r="BJ36" s="387" t="str">
        <f>IFERROR(IF(AND($A36&lt;&gt;"",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36" s="330" t="str" cm="1">
        <f t="array" ref="BK36">IF($A36&lt;&gt;"",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36" s="204" t="str">
        <f>Assets!P34</f>
        <v/>
      </c>
      <c r="BM36" s="205" t="str">
        <f>Assets!Q34</f>
        <v/>
      </c>
      <c r="BN36" s="207"/>
      <c r="BO36" s="389" t="str">
        <f>IF($A36&lt;&gt;"",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36" s="116"/>
      <c r="BQ36" s="389" t="str">
        <f>IFERROR(IF($A36&lt;&gt;"",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36" s="116"/>
      <c r="BS36" s="389" t="str">
        <f>IF($A36&lt;&gt;"",
   IF(EInfo_ACM[[#This Row],[List of network interfaces]]&lt;&gt;"",
   _xlfn.TEXTJOIN(", "&amp;CHAR(10),TRUE, "E.Info.SCM-1.SCM.States", "E.Info.SCM-1.SCM.SecObjectives"), ""), "")</f>
        <v/>
      </c>
      <c r="BT36" s="116"/>
      <c r="BU36" s="391" t="str">
        <f>IFERROR(IF(AND($A36&lt;&gt;"",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36" s="93"/>
      <c r="BW36" s="94"/>
      <c r="BX36" s="94"/>
      <c r="BY36" s="94"/>
      <c r="BZ36" s="358"/>
      <c r="CA36" s="391" t="str">
        <f>IFERROR(IF(AND($A36&lt;&gt;"",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36" s="93"/>
      <c r="CC36" s="94"/>
      <c r="CD36" s="358"/>
      <c r="CE36" s="130" t="str">
        <f>IFERROR(IF(AND($A36&lt;&gt;"",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36" s="93"/>
      <c r="CG36" s="94"/>
      <c r="CH36" s="94"/>
      <c r="CI36" s="358"/>
      <c r="CJ36" s="401"/>
      <c r="CK36" s="394" t="str" cm="1">
        <f t="array" ref="CK36">IFERROR(IF($A36&lt;&gt;"",
     _xlfn.IFS(EInfo_ACM[[#This Row],[E.Info.DT.DLM-1]]="N/A", "N/A", AND(VALUE(RIGHT(EInfo_ACM[[#This Row],[E.Info.DT.DLM-1]]))=1, OR(EInfo_ACM[[#This Row],[Type]]="Privacy", AND(Assets!E34="Sensitive", EInfo_ACM[[#This Row],[Type]]="Security", Assets!D34="Parameter"))), "E.Info.DLM-1.DLM"), ""), "")</f>
        <v/>
      </c>
      <c r="CL36" s="397"/>
      <c r="CM36" s="120"/>
      <c r="CN36" s="142" t="str">
        <f>IFERROR(IF($A36&lt;&gt;"",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36" s="143"/>
      <c r="CP36" s="110" t="str">
        <f>IF($A36&lt;&gt;"",
IF(Assets!J34&lt;&gt;"",Assets!J34,"Please complete the CCK column in the Asset sheet"),"")</f>
        <v/>
      </c>
      <c r="CQ36" s="209"/>
      <c r="CR36" s="404" t="str">
        <f>IFERROR(IF($A36&lt;&gt;"",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36" s="86"/>
      <c r="CT36" s="210"/>
      <c r="CU36" s="404" t="str">
        <f>IFERROR(IF($A36&lt;&gt;"",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36" s="86"/>
      <c r="CW36" s="210"/>
      <c r="CX36" s="330" t="str">
        <f>IFERROR(IF($A36&lt;&gt;"",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36" s="86"/>
      <c r="CZ36" s="14"/>
    </row>
    <row r="37" spans="1:104" x14ac:dyDescent="0.3">
      <c r="A37" s="241" t="str">
        <f>IF(Assets!A35="", "", Assets!A35)</f>
        <v/>
      </c>
      <c r="B37" s="141" t="str">
        <f>IF(Assets!C35="", "", Assets!C35)</f>
        <v/>
      </c>
      <c r="C37" s="191"/>
      <c r="D37" s="330" t="str" cm="1">
        <f t="array" ref="D37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AND(Assets!E35="Sensitive", EInfo_ACM[[#This Row],[Type]]="Security", Assets!D35="Parameter"), "E.Info.DLM-1.SenSecParam"), ""), ""),
          IF(EInfo_ACM[[#This Row],[Type]]="Privacy", "E.Info.UNM-1.PersonalInformation", ""),
          "E.Info.GEC-1."&amp;EInfo_ACM[[#This Row],[Type]]&amp;"Asset"
),""), "")</f>
        <v/>
      </c>
      <c r="E37" s="89" t="str">
        <f>IF(Assets!B35="", "", Assets!B35)</f>
        <v/>
      </c>
      <c r="F37" s="186" t="str">
        <f>IF(EInfo_ACM[[#This Row],[Type]]&lt;&gt;"", _xlfn.TEXTJOIN(", "&amp;CHAR(10), TRUE, "E.Info.ACM-1."&amp;EInfo_ACM[[#This Row],[Type]]&amp;"Asset.Access"), "")</f>
        <v/>
      </c>
      <c r="G37" s="192" t="str">
        <f>IF(EInfo_ACM[[#This Row],[Assets]]&lt;&gt;"", IF(Assets!G35&lt;&gt;"", Assets!G35, "Please complete the Mapping_Asset_Entities tab"), "")</f>
        <v/>
      </c>
      <c r="H37" s="330" t="str" cm="1">
        <f t="array" ref="H37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37" s="52"/>
      <c r="J37" s="120"/>
      <c r="K37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37" s="87"/>
      <c r="M37" s="210"/>
      <c r="N37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37" s="87"/>
      <c r="P37" s="342"/>
      <c r="Q37" s="115"/>
      <c r="R37" s="171"/>
      <c r="S37" s="111"/>
      <c r="T37" s="112"/>
      <c r="U37" s="113"/>
      <c r="V37" s="113"/>
      <c r="W37" s="344" t="str" cm="1">
        <f t="array" ref="W37">IFERROR(IF($Y37&lt;&gt;"",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TRUE)&amp;".ACM."&amp;_xlfn.TEXTSPLIT(Assets!N35, ", "&amp;CHAR(10))&amp;"Interface"), "N/A"), ""), "N/A")</f>
        <v/>
      </c>
      <c r="X37" s="200" t="str">
        <f>IF(EInfo_ACM[[#This Row],[Assets]]&lt;&gt;"", IF(Assets!F35&lt;&gt;"", Assets!F35, "Please complete the Mapping_Asset_Interfaces tab"), "")</f>
        <v/>
      </c>
      <c r="Y37" s="91" t="str">
        <f>Assets!N35</f>
        <v/>
      </c>
      <c r="Z37" s="347"/>
      <c r="AA37" s="349" t="str" cm="1">
        <f t="array" ref="AA37">IFERROR(IF($Y37&lt;&gt;"",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37" s="201"/>
      <c r="AC37" s="105"/>
      <c r="AD37" s="106"/>
      <c r="AE37" s="106"/>
      <c r="AF37" s="354" t="str">
        <f>IFERROR(IF($A37&lt;&gt;"",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37" s="352"/>
      <c r="AH37" s="133" t="str">
        <f>IFERROR(IF($A37&lt;&gt;"",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37" s="352"/>
      <c r="AJ37" s="105"/>
      <c r="AK37" s="354" t="str">
        <f>IFERROR(IF($A37&lt;&gt;"",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37" s="352"/>
      <c r="AM37" s="114"/>
      <c r="AN37" s="107"/>
      <c r="AO37" s="354" t="str">
        <f>IFERROR(IF($A37&lt;&gt;"",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37" s="86"/>
      <c r="AQ37" s="349" t="str">
        <f>IFERROR(IF($A37&lt;&gt;"",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37" s="103"/>
      <c r="AS37" s="202" t="str">
        <f>IF($A37&lt;&gt;"",
IF(Assets!H35&lt;&gt;"",Assets!H35,"Please complete the SSM column in the Asset sheet"),"")</f>
        <v/>
      </c>
      <c r="AT37" s="106"/>
      <c r="AU37" s="354" t="str">
        <f>IFERROR(IF(AND($A37&lt;&gt;"",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37" s="103"/>
      <c r="AW37" s="356" t="str" cm="1">
        <f t="array" ref="AW37">IFERROR(IF(AND($A37&lt;&gt;"",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37" s="93"/>
      <c r="AY37" s="94"/>
      <c r="AZ37" s="94"/>
      <c r="BA37" s="94"/>
      <c r="BB37" s="358"/>
      <c r="BC37" s="356" t="str" cm="1">
        <f t="array" ref="BC37">IFERROR(IF(AND($A37&lt;&gt;"",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37" s="93"/>
      <c r="BE37" s="94"/>
      <c r="BF37" s="94"/>
      <c r="BG37" s="123"/>
      <c r="BH37" s="585" t="str">
        <f>IF($A37&lt;&gt;"",
IF(Assets!I35&lt;&gt;"",Assets!I35,"Please complete the SCM column in the Asset sheet"),"")</f>
        <v/>
      </c>
      <c r="BI37" s="581"/>
      <c r="BJ37" s="387" t="str">
        <f>IFERROR(IF(AND($A37&lt;&gt;"",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37" s="330" t="str" cm="1">
        <f t="array" ref="BK37">IF($A37&lt;&gt;"",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37" s="204" t="str">
        <f>Assets!P35</f>
        <v/>
      </c>
      <c r="BM37" s="205" t="str">
        <f>Assets!Q35</f>
        <v/>
      </c>
      <c r="BN37" s="207"/>
      <c r="BO37" s="389" t="str">
        <f>IF($A37&lt;&gt;"",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37" s="116"/>
      <c r="BQ37" s="389" t="str">
        <f>IFERROR(IF($A37&lt;&gt;"",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37" s="116"/>
      <c r="BS37" s="389" t="str">
        <f>IF($A37&lt;&gt;"",
   IF(EInfo_ACM[[#This Row],[List of network interfaces]]&lt;&gt;"",
   _xlfn.TEXTJOIN(", "&amp;CHAR(10),TRUE, "E.Info.SCM-1.SCM.States", "E.Info.SCM-1.SCM.SecObjectives"), ""), "")</f>
        <v/>
      </c>
      <c r="BT37" s="116"/>
      <c r="BU37" s="391" t="str">
        <f>IFERROR(IF(AND($A37&lt;&gt;"",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37" s="93"/>
      <c r="BW37" s="94"/>
      <c r="BX37" s="94"/>
      <c r="BY37" s="94"/>
      <c r="BZ37" s="358"/>
      <c r="CA37" s="391" t="str">
        <f>IFERROR(IF(AND($A37&lt;&gt;"",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37" s="93"/>
      <c r="CC37" s="94"/>
      <c r="CD37" s="358"/>
      <c r="CE37" s="130" t="str">
        <f>IFERROR(IF(AND($A37&lt;&gt;"",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37" s="93"/>
      <c r="CG37" s="94"/>
      <c r="CH37" s="94"/>
      <c r="CI37" s="358"/>
      <c r="CJ37" s="401"/>
      <c r="CK37" s="394" t="str" cm="1">
        <f t="array" ref="CK37">IFERROR(IF($A37&lt;&gt;"",
     _xlfn.IFS(EInfo_ACM[[#This Row],[E.Info.DT.DLM-1]]="N/A", "N/A", AND(VALUE(RIGHT(EInfo_ACM[[#This Row],[E.Info.DT.DLM-1]]))=1, OR(EInfo_ACM[[#This Row],[Type]]="Privacy", AND(Assets!E35="Sensitive", EInfo_ACM[[#This Row],[Type]]="Security", Assets!D35="Parameter"))), "E.Info.DLM-1.DLM"), ""), "")</f>
        <v/>
      </c>
      <c r="CL37" s="397"/>
      <c r="CM37" s="120"/>
      <c r="CN37" s="142" t="str">
        <f>IFERROR(IF($A37&lt;&gt;"",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37" s="143"/>
      <c r="CP37" s="110" t="str">
        <f>IF($A37&lt;&gt;"",
IF(Assets!J35&lt;&gt;"",Assets!J35,"Please complete the CCK column in the Asset sheet"),"")</f>
        <v/>
      </c>
      <c r="CQ37" s="209"/>
      <c r="CR37" s="404" t="str">
        <f>IFERROR(IF($A37&lt;&gt;"",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37" s="86"/>
      <c r="CT37" s="210"/>
      <c r="CU37" s="404" t="str">
        <f>IFERROR(IF($A37&lt;&gt;"",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37" s="86"/>
      <c r="CW37" s="210"/>
      <c r="CX37" s="330" t="str">
        <f>IFERROR(IF($A37&lt;&gt;"",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37" s="86"/>
      <c r="CZ37" s="14"/>
    </row>
    <row r="38" spans="1:104" x14ac:dyDescent="0.3">
      <c r="A38" s="241" t="str">
        <f>IF(Assets!A36="", "", Assets!A36)</f>
        <v/>
      </c>
      <c r="B38" s="141" t="str">
        <f>IF(Assets!C36="", "", Assets!C36)</f>
        <v/>
      </c>
      <c r="C38" s="191"/>
      <c r="D38" s="330" t="str" cm="1">
        <f t="array" ref="D38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AND(Assets!E36="Sensitive", EInfo_ACM[[#This Row],[Type]]="Security", Assets!D36="Parameter"), "E.Info.DLM-1.SenSecParam"), ""), ""),
          IF(EInfo_ACM[[#This Row],[Type]]="Privacy", "E.Info.UNM-1.PersonalInformation", ""),
          "E.Info.GEC-1."&amp;EInfo_ACM[[#This Row],[Type]]&amp;"Asset"
),""), "")</f>
        <v/>
      </c>
      <c r="E38" s="89" t="str">
        <f>IF(Assets!B36="", "", Assets!B36)</f>
        <v/>
      </c>
      <c r="F38" s="186" t="str">
        <f>IF(EInfo_ACM[[#This Row],[Type]]&lt;&gt;"", _xlfn.TEXTJOIN(", "&amp;CHAR(10), TRUE, "E.Info.ACM-1."&amp;EInfo_ACM[[#This Row],[Type]]&amp;"Asset.Access"), "")</f>
        <v/>
      </c>
      <c r="G38" s="192" t="str">
        <f>IF(EInfo_ACM[[#This Row],[Assets]]&lt;&gt;"", IF(Assets!G36&lt;&gt;"", Assets!G36, "Please complete the Mapping_Asset_Entities tab"), "")</f>
        <v/>
      </c>
      <c r="H38" s="330" t="str" cm="1">
        <f t="array" ref="H38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38" s="52"/>
      <c r="J38" s="120"/>
      <c r="K38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38" s="87"/>
      <c r="M38" s="210"/>
      <c r="N38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38" s="87"/>
      <c r="P38" s="342"/>
      <c r="Q38" s="115"/>
      <c r="R38" s="171"/>
      <c r="S38" s="111"/>
      <c r="T38" s="112"/>
      <c r="U38" s="113"/>
      <c r="V38" s="113"/>
      <c r="W38" s="344" t="str" cm="1">
        <f t="array" ref="W38">IFERROR(IF($Y38&lt;&gt;"",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TRUE)&amp;".ACM."&amp;_xlfn.TEXTSPLIT(Assets!N36, ", "&amp;CHAR(10))&amp;"Interface"), "N/A"), ""), "N/A")</f>
        <v/>
      </c>
      <c r="X38" s="200" t="str">
        <f>IF(EInfo_ACM[[#This Row],[Assets]]&lt;&gt;"", IF(Assets!F36&lt;&gt;"", Assets!F36, "Please complete the Mapping_Asset_Interfaces tab"), "")</f>
        <v/>
      </c>
      <c r="Y38" s="91" t="str">
        <f>Assets!N36</f>
        <v/>
      </c>
      <c r="Z38" s="347"/>
      <c r="AA38" s="349" t="str" cm="1">
        <f t="array" ref="AA38">IFERROR(IF($Y38&lt;&gt;"",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38" s="201"/>
      <c r="AC38" s="105"/>
      <c r="AD38" s="106"/>
      <c r="AE38" s="106"/>
      <c r="AF38" s="354" t="str">
        <f>IFERROR(IF($A38&lt;&gt;"",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38" s="352"/>
      <c r="AH38" s="133" t="str">
        <f>IFERROR(IF($A38&lt;&gt;"",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38" s="352"/>
      <c r="AJ38" s="105"/>
      <c r="AK38" s="354" t="str">
        <f>IFERROR(IF($A38&lt;&gt;"",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38" s="352"/>
      <c r="AM38" s="114"/>
      <c r="AN38" s="107"/>
      <c r="AO38" s="354" t="str">
        <f>IFERROR(IF($A38&lt;&gt;"",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38" s="86"/>
      <c r="AQ38" s="349" t="str">
        <f>IFERROR(IF($A38&lt;&gt;"",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38" s="103"/>
      <c r="AS38" s="202" t="str">
        <f>IF($A38&lt;&gt;"",
IF(Assets!H36&lt;&gt;"",Assets!H36,"Please complete the SSM column in the Asset sheet"),"")</f>
        <v/>
      </c>
      <c r="AT38" s="106"/>
      <c r="AU38" s="354" t="str">
        <f>IFERROR(IF(AND($A38&lt;&gt;"",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38" s="103"/>
      <c r="AW38" s="356" t="str" cm="1">
        <f t="array" ref="AW38">IFERROR(IF(AND($A38&lt;&gt;"",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38" s="93"/>
      <c r="AY38" s="94"/>
      <c r="AZ38" s="94"/>
      <c r="BA38" s="94"/>
      <c r="BB38" s="358"/>
      <c r="BC38" s="356" t="str" cm="1">
        <f t="array" ref="BC38">IFERROR(IF(AND($A38&lt;&gt;"",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38" s="93"/>
      <c r="BE38" s="94"/>
      <c r="BF38" s="94"/>
      <c r="BG38" s="123"/>
      <c r="BH38" s="585" t="str">
        <f>IF($A38&lt;&gt;"",
IF(Assets!I36&lt;&gt;"",Assets!I36,"Please complete the SCM column in the Asset sheet"),"")</f>
        <v/>
      </c>
      <c r="BI38" s="581"/>
      <c r="BJ38" s="387" t="str">
        <f>IFERROR(IF(AND($A38&lt;&gt;"",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38" s="330" t="str" cm="1">
        <f t="array" ref="BK38">IF($A38&lt;&gt;"",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38" s="204" t="str">
        <f>Assets!P36</f>
        <v/>
      </c>
      <c r="BM38" s="205" t="str">
        <f>Assets!Q36</f>
        <v/>
      </c>
      <c r="BN38" s="207"/>
      <c r="BO38" s="389" t="str">
        <f>IF($A38&lt;&gt;"",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38" s="116"/>
      <c r="BQ38" s="389" t="str">
        <f>IFERROR(IF($A38&lt;&gt;"",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38" s="116"/>
      <c r="BS38" s="389" t="str">
        <f>IF($A38&lt;&gt;"",
   IF(EInfo_ACM[[#This Row],[List of network interfaces]]&lt;&gt;"",
   _xlfn.TEXTJOIN(", "&amp;CHAR(10),TRUE, "E.Info.SCM-1.SCM.States", "E.Info.SCM-1.SCM.SecObjectives"), ""), "")</f>
        <v/>
      </c>
      <c r="BT38" s="116"/>
      <c r="BU38" s="391" t="str">
        <f>IFERROR(IF(AND($A38&lt;&gt;"",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38" s="93"/>
      <c r="BW38" s="94"/>
      <c r="BX38" s="94"/>
      <c r="BY38" s="94"/>
      <c r="BZ38" s="358"/>
      <c r="CA38" s="391" t="str">
        <f>IFERROR(IF(AND($A38&lt;&gt;"",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38" s="93"/>
      <c r="CC38" s="94"/>
      <c r="CD38" s="358"/>
      <c r="CE38" s="130" t="str">
        <f>IFERROR(IF(AND($A38&lt;&gt;"",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38" s="93"/>
      <c r="CG38" s="94"/>
      <c r="CH38" s="94"/>
      <c r="CI38" s="358"/>
      <c r="CJ38" s="401"/>
      <c r="CK38" s="394" t="str" cm="1">
        <f t="array" ref="CK38">IFERROR(IF($A38&lt;&gt;"",
     _xlfn.IFS(EInfo_ACM[[#This Row],[E.Info.DT.DLM-1]]="N/A", "N/A", AND(VALUE(RIGHT(EInfo_ACM[[#This Row],[E.Info.DT.DLM-1]]))=1, OR(EInfo_ACM[[#This Row],[Type]]="Privacy", AND(Assets!E36="Sensitive", EInfo_ACM[[#This Row],[Type]]="Security", Assets!D36="Parameter"))), "E.Info.DLM-1.DLM"), ""), "")</f>
        <v/>
      </c>
      <c r="CL38" s="397"/>
      <c r="CM38" s="120"/>
      <c r="CN38" s="142" t="str">
        <f>IFERROR(IF($A38&lt;&gt;"",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38" s="143"/>
      <c r="CP38" s="110" t="str">
        <f>IF($A38&lt;&gt;"",
IF(Assets!J36&lt;&gt;"",Assets!J36,"Please complete the CCK column in the Asset sheet"),"")</f>
        <v/>
      </c>
      <c r="CQ38" s="209"/>
      <c r="CR38" s="404" t="str">
        <f>IFERROR(IF($A38&lt;&gt;"",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38" s="86"/>
      <c r="CT38" s="210"/>
      <c r="CU38" s="404" t="str">
        <f>IFERROR(IF($A38&lt;&gt;"",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38" s="86"/>
      <c r="CW38" s="210"/>
      <c r="CX38" s="330" t="str">
        <f>IFERROR(IF($A38&lt;&gt;"",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38" s="86"/>
      <c r="CZ38" s="14"/>
    </row>
    <row r="39" spans="1:104" x14ac:dyDescent="0.3">
      <c r="A39" s="241" t="str">
        <f>IF(Assets!A37="", "", Assets!A37)</f>
        <v/>
      </c>
      <c r="B39" s="141" t="str">
        <f>IF(Assets!C37="", "", Assets!C37)</f>
        <v/>
      </c>
      <c r="C39" s="191"/>
      <c r="D39" s="330" t="str" cm="1">
        <f t="array" ref="D39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AND(Assets!E37="Sensitive", EInfo_ACM[[#This Row],[Type]]="Security", Assets!D37="Parameter"), "E.Info.DLM-1.SenSecParam"), ""), ""),
          IF(EInfo_ACM[[#This Row],[Type]]="Privacy", "E.Info.UNM-1.PersonalInformation", ""),
          "E.Info.GEC-1."&amp;EInfo_ACM[[#This Row],[Type]]&amp;"Asset"
),""), "")</f>
        <v/>
      </c>
      <c r="E39" s="89" t="str">
        <f>IF(Assets!B37="", "", Assets!B37)</f>
        <v/>
      </c>
      <c r="F39" s="186" t="str">
        <f>IF(EInfo_ACM[[#This Row],[Type]]&lt;&gt;"", _xlfn.TEXTJOIN(", "&amp;CHAR(10), TRUE, "E.Info.ACM-1."&amp;EInfo_ACM[[#This Row],[Type]]&amp;"Asset.Access"), "")</f>
        <v/>
      </c>
      <c r="G39" s="192" t="str">
        <f>IF(EInfo_ACM[[#This Row],[Assets]]&lt;&gt;"", IF(Assets!G37&lt;&gt;"", Assets!G37, "Please complete the Mapping_Asset_Entities tab"), "")</f>
        <v/>
      </c>
      <c r="H39" s="330" t="str" cm="1">
        <f t="array" ref="H39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39" s="52"/>
      <c r="J39" s="120"/>
      <c r="K39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39" s="87"/>
      <c r="M39" s="210"/>
      <c r="N39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39" s="87"/>
      <c r="P39" s="342"/>
      <c r="Q39" s="115"/>
      <c r="R39" s="171"/>
      <c r="S39" s="111"/>
      <c r="T39" s="112"/>
      <c r="U39" s="113"/>
      <c r="V39" s="113"/>
      <c r="W39" s="344" t="str" cm="1">
        <f t="array" ref="W39">IFERROR(IF($Y39&lt;&gt;"",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TRUE)&amp;".ACM."&amp;_xlfn.TEXTSPLIT(Assets!N37, ", "&amp;CHAR(10))&amp;"Interface"), "N/A"), ""), "N/A")</f>
        <v/>
      </c>
      <c r="X39" s="200" t="str">
        <f>IF(EInfo_ACM[[#This Row],[Assets]]&lt;&gt;"", IF(Assets!F37&lt;&gt;"", Assets!F37, "Please complete the Mapping_Asset_Interfaces tab"), "")</f>
        <v/>
      </c>
      <c r="Y39" s="91" t="str">
        <f>Assets!N37</f>
        <v/>
      </c>
      <c r="Z39" s="347"/>
      <c r="AA39" s="349" t="str" cm="1">
        <f t="array" ref="AA39">IFERROR(IF($Y39&lt;&gt;"",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39" s="201"/>
      <c r="AC39" s="105"/>
      <c r="AD39" s="106"/>
      <c r="AE39" s="106"/>
      <c r="AF39" s="354" t="str">
        <f>IFERROR(IF($A39&lt;&gt;"",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39" s="352"/>
      <c r="AH39" s="133" t="str">
        <f>IFERROR(IF($A39&lt;&gt;"",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39" s="352"/>
      <c r="AJ39" s="105"/>
      <c r="AK39" s="354" t="str">
        <f>IFERROR(IF($A39&lt;&gt;"",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39" s="352"/>
      <c r="AM39" s="114"/>
      <c r="AN39" s="107"/>
      <c r="AO39" s="354" t="str">
        <f>IFERROR(IF($A39&lt;&gt;"",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39" s="86"/>
      <c r="AQ39" s="349" t="str">
        <f>IFERROR(IF($A39&lt;&gt;"",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39" s="104"/>
      <c r="AS39" s="202" t="str">
        <f>IF($A39&lt;&gt;"",
IF(Assets!H37&lt;&gt;"",Assets!H37,"Please complete the SSM column in the Asset sheet"),"")</f>
        <v/>
      </c>
      <c r="AT39" s="106"/>
      <c r="AU39" s="354" t="str">
        <f>IFERROR(IF(AND($A39&lt;&gt;"",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39" s="104"/>
      <c r="AW39" s="356" t="str" cm="1">
        <f t="array" ref="AW39">IFERROR(IF(AND($A39&lt;&gt;"",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39" s="93"/>
      <c r="AY39" s="94"/>
      <c r="AZ39" s="94"/>
      <c r="BA39" s="94"/>
      <c r="BB39" s="358"/>
      <c r="BC39" s="356" t="str" cm="1">
        <f t="array" ref="BC39">IFERROR(IF(AND($A39&lt;&gt;"",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39" s="93"/>
      <c r="BE39" s="94"/>
      <c r="BF39" s="94"/>
      <c r="BG39" s="123"/>
      <c r="BH39" s="585" t="str">
        <f>IF($A39&lt;&gt;"",
IF(Assets!I37&lt;&gt;"",Assets!I37,"Please complete the SCM column in the Asset sheet"),"")</f>
        <v/>
      </c>
      <c r="BI39" s="581"/>
      <c r="BJ39" s="387" t="str">
        <f>IFERROR(IF(AND($A39&lt;&gt;"",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39" s="330" t="str" cm="1">
        <f t="array" ref="BK39">IF($A39&lt;&gt;"",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39" s="204" t="str">
        <f>Assets!P37</f>
        <v/>
      </c>
      <c r="BM39" s="205" t="str">
        <f>Assets!Q37</f>
        <v/>
      </c>
      <c r="BN39" s="208"/>
      <c r="BO39" s="389" t="str">
        <f>IF($A39&lt;&gt;"",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39" s="117"/>
      <c r="BQ39" s="389" t="str">
        <f>IFERROR(IF($A39&lt;&gt;"",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39" s="117"/>
      <c r="BS39" s="389" t="str">
        <f>IF($A39&lt;&gt;"",
   IF(EInfo_ACM[[#This Row],[List of network interfaces]]&lt;&gt;"",
   _xlfn.TEXTJOIN(", "&amp;CHAR(10),TRUE, "E.Info.SCM-1.SCM.States", "E.Info.SCM-1.SCM.SecObjectives"), ""), "")</f>
        <v/>
      </c>
      <c r="BT39" s="117"/>
      <c r="BU39" s="391" t="str">
        <f>IFERROR(IF(AND($A39&lt;&gt;"",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39" s="93"/>
      <c r="BW39" s="94"/>
      <c r="BX39" s="94"/>
      <c r="BY39" s="94"/>
      <c r="BZ39" s="358"/>
      <c r="CA39" s="391" t="str">
        <f>IFERROR(IF(AND($A39&lt;&gt;"",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39" s="93"/>
      <c r="CC39" s="94"/>
      <c r="CD39" s="358"/>
      <c r="CE39" s="130" t="str">
        <f>IFERROR(IF(AND($A39&lt;&gt;"",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39" s="93"/>
      <c r="CG39" s="94"/>
      <c r="CH39" s="94"/>
      <c r="CI39" s="358"/>
      <c r="CJ39" s="401"/>
      <c r="CK39" s="394" t="str" cm="1">
        <f t="array" ref="CK39">IFERROR(IF($A39&lt;&gt;"",
     _xlfn.IFS(EInfo_ACM[[#This Row],[E.Info.DT.DLM-1]]="N/A", "N/A", AND(VALUE(RIGHT(EInfo_ACM[[#This Row],[E.Info.DT.DLM-1]]))=1, OR(EInfo_ACM[[#This Row],[Type]]="Privacy", AND(Assets!E37="Sensitive", EInfo_ACM[[#This Row],[Type]]="Security", Assets!D37="Parameter"))), "E.Info.DLM-1.DLM"), ""), "")</f>
        <v/>
      </c>
      <c r="CL39" s="397"/>
      <c r="CM39" s="120"/>
      <c r="CN39" s="142" t="str">
        <f>IFERROR(IF($A39&lt;&gt;"",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39" s="143"/>
      <c r="CP39" s="110" t="str">
        <f>IF($A39&lt;&gt;"",
IF(Assets!J37&lt;&gt;"",Assets!J37,"Please complete the CCK column in the Asset sheet"),"")</f>
        <v/>
      </c>
      <c r="CQ39" s="209"/>
      <c r="CR39" s="404" t="str">
        <f>IFERROR(IF($A39&lt;&gt;"",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39" s="86"/>
      <c r="CT39" s="210"/>
      <c r="CU39" s="404" t="str">
        <f>IFERROR(IF($A39&lt;&gt;"",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39" s="86"/>
      <c r="CW39" s="210"/>
      <c r="CX39" s="330" t="str">
        <f>IFERROR(IF($A39&lt;&gt;"",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39" s="86"/>
      <c r="CZ39" s="14"/>
    </row>
    <row r="40" spans="1:104" x14ac:dyDescent="0.3">
      <c r="A40" s="241" t="str">
        <f>IF(Assets!A38="", "", Assets!A38)</f>
        <v/>
      </c>
      <c r="B40" s="141" t="str">
        <f>IF(Assets!C38="", "", Assets!C38)</f>
        <v/>
      </c>
      <c r="C40" s="191"/>
      <c r="D40" s="330" t="str" cm="1">
        <f t="array" ref="D40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AND(Assets!E38="Sensitive", EInfo_ACM[[#This Row],[Type]]="Security", Assets!D38="Parameter"), "E.Info.DLM-1.SenSecParam"), ""), ""),
          IF(EInfo_ACM[[#This Row],[Type]]="Privacy", "E.Info.UNM-1.PersonalInformation", ""),
          "E.Info.GEC-1."&amp;EInfo_ACM[[#This Row],[Type]]&amp;"Asset"
),""), "")</f>
        <v/>
      </c>
      <c r="E40" s="89" t="str">
        <f>IF(Assets!B38="", "", Assets!B38)</f>
        <v/>
      </c>
      <c r="F40" s="186" t="str">
        <f>IF(EInfo_ACM[[#This Row],[Type]]&lt;&gt;"", _xlfn.TEXTJOIN(", "&amp;CHAR(10), TRUE, "E.Info.ACM-1."&amp;EInfo_ACM[[#This Row],[Type]]&amp;"Asset.Access"), "")</f>
        <v/>
      </c>
      <c r="G40" s="192" t="str">
        <f>IF(EInfo_ACM[[#This Row],[Assets]]&lt;&gt;"", IF(Assets!G38&lt;&gt;"", Assets!G38, "Please complete the Mapping_Asset_Entities tab"), "")</f>
        <v/>
      </c>
      <c r="H40" s="330" t="str" cm="1">
        <f t="array" ref="H40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40" s="52"/>
      <c r="J40" s="120"/>
      <c r="K40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40" s="87"/>
      <c r="M40" s="210"/>
      <c r="N40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40" s="87"/>
      <c r="P40" s="342"/>
      <c r="Q40" s="115"/>
      <c r="R40" s="171"/>
      <c r="S40" s="111"/>
      <c r="T40" s="112"/>
      <c r="U40" s="113"/>
      <c r="V40" s="113"/>
      <c r="W40" s="344" t="str" cm="1">
        <f t="array" ref="W40">IFERROR(IF($Y40&lt;&gt;"",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TRUE)&amp;".ACM."&amp;_xlfn.TEXTSPLIT(Assets!N38, ", "&amp;CHAR(10))&amp;"Interface"), "N/A"), ""), "N/A")</f>
        <v/>
      </c>
      <c r="X40" s="200" t="str">
        <f>IF(EInfo_ACM[[#This Row],[Assets]]&lt;&gt;"", IF(Assets!F38&lt;&gt;"", Assets!F38, "Please complete the Mapping_Asset_Interfaces tab"), "")</f>
        <v/>
      </c>
      <c r="Y40" s="91" t="str">
        <f>Assets!N38</f>
        <v/>
      </c>
      <c r="Z40" s="347"/>
      <c r="AA40" s="349" t="str" cm="1">
        <f t="array" ref="AA40">IFERROR(IF($Y40&lt;&gt;"",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40" s="201"/>
      <c r="AC40" s="105"/>
      <c r="AD40" s="106"/>
      <c r="AE40" s="106"/>
      <c r="AF40" s="354" t="str">
        <f>IFERROR(IF($A40&lt;&gt;"",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40" s="352"/>
      <c r="AH40" s="133" t="str">
        <f>IFERROR(IF($A40&lt;&gt;"",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40" s="352"/>
      <c r="AJ40" s="105"/>
      <c r="AK40" s="354" t="str">
        <f>IFERROR(IF($A40&lt;&gt;"",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40" s="352"/>
      <c r="AM40" s="114"/>
      <c r="AN40" s="107"/>
      <c r="AO40" s="354" t="str">
        <f>IFERROR(IF($A40&lt;&gt;"",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40" s="86"/>
      <c r="AQ40" s="349" t="str">
        <f>IFERROR(IF($A40&lt;&gt;"",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40" s="103"/>
      <c r="AS40" s="202" t="str">
        <f>IF($A40&lt;&gt;"",
IF(Assets!H38&lt;&gt;"",Assets!H38,"Please complete the SSM column in the Asset sheet"),"")</f>
        <v/>
      </c>
      <c r="AT40" s="106"/>
      <c r="AU40" s="354" t="str">
        <f>IFERROR(IF(AND($A40&lt;&gt;"",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40" s="103"/>
      <c r="AW40" s="356" t="str" cm="1">
        <f t="array" ref="AW40">IFERROR(IF(AND($A40&lt;&gt;"",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40" s="93"/>
      <c r="AY40" s="94"/>
      <c r="AZ40" s="94"/>
      <c r="BA40" s="94"/>
      <c r="BB40" s="358"/>
      <c r="BC40" s="356" t="str" cm="1">
        <f t="array" ref="BC40">IFERROR(IF(AND($A40&lt;&gt;"",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40" s="93"/>
      <c r="BE40" s="94"/>
      <c r="BF40" s="94"/>
      <c r="BG40" s="123"/>
      <c r="BH40" s="585" t="str">
        <f>IF($A40&lt;&gt;"",
IF(Assets!I38&lt;&gt;"",Assets!I38,"Please complete the SCM column in the Asset sheet"),"")</f>
        <v/>
      </c>
      <c r="BI40" s="581"/>
      <c r="BJ40" s="387" t="str">
        <f>IFERROR(IF(AND($A40&lt;&gt;"",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40" s="330" t="str" cm="1">
        <f t="array" ref="BK40">IF($A40&lt;&gt;"",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40" s="204" t="str">
        <f>Assets!P38</f>
        <v/>
      </c>
      <c r="BM40" s="205" t="str">
        <f>Assets!Q38</f>
        <v/>
      </c>
      <c r="BN40" s="207"/>
      <c r="BO40" s="389" t="str">
        <f>IF($A40&lt;&gt;"",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40" s="116"/>
      <c r="BQ40" s="389" t="str">
        <f>IFERROR(IF($A40&lt;&gt;"",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40" s="116"/>
      <c r="BS40" s="389" t="str">
        <f>IF($A40&lt;&gt;"",
   IF(EInfo_ACM[[#This Row],[List of network interfaces]]&lt;&gt;"",
   _xlfn.TEXTJOIN(", "&amp;CHAR(10),TRUE, "E.Info.SCM-1.SCM.States", "E.Info.SCM-1.SCM.SecObjectives"), ""), "")</f>
        <v/>
      </c>
      <c r="BT40" s="116"/>
      <c r="BU40" s="391" t="str">
        <f>IFERROR(IF(AND($A40&lt;&gt;"",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40" s="93"/>
      <c r="BW40" s="94"/>
      <c r="BX40" s="94"/>
      <c r="BY40" s="94"/>
      <c r="BZ40" s="358"/>
      <c r="CA40" s="391" t="str">
        <f>IFERROR(IF(AND($A40&lt;&gt;"",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40" s="93"/>
      <c r="CC40" s="94"/>
      <c r="CD40" s="358"/>
      <c r="CE40" s="130" t="str">
        <f>IFERROR(IF(AND($A40&lt;&gt;"",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40" s="93"/>
      <c r="CG40" s="94"/>
      <c r="CH40" s="94"/>
      <c r="CI40" s="358"/>
      <c r="CJ40" s="401"/>
      <c r="CK40" s="394" t="str" cm="1">
        <f t="array" ref="CK40">IFERROR(IF($A40&lt;&gt;"",
     _xlfn.IFS(EInfo_ACM[[#This Row],[E.Info.DT.DLM-1]]="N/A", "N/A", AND(VALUE(RIGHT(EInfo_ACM[[#This Row],[E.Info.DT.DLM-1]]))=1, OR(EInfo_ACM[[#This Row],[Type]]="Privacy", AND(Assets!E38="Sensitive", EInfo_ACM[[#This Row],[Type]]="Security", Assets!D38="Parameter"))), "E.Info.DLM-1.DLM"), ""), "")</f>
        <v/>
      </c>
      <c r="CL40" s="397"/>
      <c r="CM40" s="120"/>
      <c r="CN40" s="142" t="str">
        <f>IFERROR(IF($A40&lt;&gt;"",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40" s="143"/>
      <c r="CP40" s="110" t="str">
        <f>IF($A40&lt;&gt;"",
IF(Assets!J38&lt;&gt;"",Assets!J38,"Please complete the CCK column in the Asset sheet"),"")</f>
        <v/>
      </c>
      <c r="CQ40" s="209"/>
      <c r="CR40" s="404" t="str">
        <f>IFERROR(IF($A40&lt;&gt;"",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40" s="86"/>
      <c r="CT40" s="210"/>
      <c r="CU40" s="404" t="str">
        <f>IFERROR(IF($A40&lt;&gt;"",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40" s="86"/>
      <c r="CW40" s="210"/>
      <c r="CX40" s="330" t="str">
        <f>IFERROR(IF($A40&lt;&gt;"",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40" s="86"/>
      <c r="CZ40" s="14"/>
    </row>
    <row r="41" spans="1:104" x14ac:dyDescent="0.3">
      <c r="A41" s="241" t="str">
        <f>IF(Assets!A39="", "", Assets!A39)</f>
        <v/>
      </c>
      <c r="B41" s="141" t="str">
        <f>IF(Assets!C39="", "", Assets!C39)</f>
        <v/>
      </c>
      <c r="C41" s="191"/>
      <c r="D41" s="330" t="str" cm="1">
        <f t="array" ref="D41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AND(Assets!E39="Sensitive", EInfo_ACM[[#This Row],[Type]]="Security", Assets!D39="Parameter"), "E.Info.DLM-1.SenSecParam"), ""), ""),
          IF(EInfo_ACM[[#This Row],[Type]]="Privacy", "E.Info.UNM-1.PersonalInformation", ""),
          "E.Info.GEC-1."&amp;EInfo_ACM[[#This Row],[Type]]&amp;"Asset"
),""), "")</f>
        <v/>
      </c>
      <c r="E41" s="89" t="str">
        <f>IF(Assets!B39="", "", Assets!B39)</f>
        <v/>
      </c>
      <c r="F41" s="186" t="str">
        <f>IF(EInfo_ACM[[#This Row],[Type]]&lt;&gt;"", _xlfn.TEXTJOIN(", "&amp;CHAR(10), TRUE, "E.Info.ACM-1."&amp;EInfo_ACM[[#This Row],[Type]]&amp;"Asset.Access"), "")</f>
        <v/>
      </c>
      <c r="G41" s="192" t="str">
        <f>IF(EInfo_ACM[[#This Row],[Assets]]&lt;&gt;"", IF(Assets!G39&lt;&gt;"", Assets!G39, "Please complete the Mapping_Asset_Entities tab"), "")</f>
        <v/>
      </c>
      <c r="H41" s="330" t="str" cm="1">
        <f t="array" ref="H41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41" s="52"/>
      <c r="J41" s="120"/>
      <c r="K41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41" s="87"/>
      <c r="M41" s="210"/>
      <c r="N41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41" s="87"/>
      <c r="P41" s="342"/>
      <c r="Q41" s="115"/>
      <c r="R41" s="171"/>
      <c r="S41" s="111"/>
      <c r="T41" s="112"/>
      <c r="U41" s="113"/>
      <c r="V41" s="113"/>
      <c r="W41" s="344" t="str" cm="1">
        <f t="array" ref="W41">IFERROR(IF($Y41&lt;&gt;"",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TRUE)&amp;".ACM."&amp;_xlfn.TEXTSPLIT(Assets!N39, ", "&amp;CHAR(10))&amp;"Interface"), "N/A"), ""), "N/A")</f>
        <v/>
      </c>
      <c r="X41" s="200" t="str">
        <f>IF(EInfo_ACM[[#This Row],[Assets]]&lt;&gt;"", IF(Assets!F39&lt;&gt;"", Assets!F39, "Please complete the Mapping_Asset_Interfaces tab"), "")</f>
        <v/>
      </c>
      <c r="Y41" s="91" t="str">
        <f>Assets!N39</f>
        <v/>
      </c>
      <c r="Z41" s="347"/>
      <c r="AA41" s="349" t="str" cm="1">
        <f t="array" ref="AA41">IFERROR(IF($Y41&lt;&gt;"",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41" s="201"/>
      <c r="AC41" s="105"/>
      <c r="AD41" s="106"/>
      <c r="AE41" s="106"/>
      <c r="AF41" s="354" t="str">
        <f>IFERROR(IF($A41&lt;&gt;"",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41" s="352"/>
      <c r="AH41" s="133" t="str">
        <f>IFERROR(IF($A41&lt;&gt;"",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41" s="352"/>
      <c r="AJ41" s="105"/>
      <c r="AK41" s="354" t="str">
        <f>IFERROR(IF($A41&lt;&gt;"",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41" s="352"/>
      <c r="AM41" s="114"/>
      <c r="AN41" s="107"/>
      <c r="AO41" s="354" t="str">
        <f>IFERROR(IF($A41&lt;&gt;"",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41" s="86"/>
      <c r="AQ41" s="349" t="str">
        <f>IFERROR(IF($A41&lt;&gt;"",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41" s="104"/>
      <c r="AS41" s="202" t="str">
        <f>IF($A41&lt;&gt;"",
IF(Assets!H39&lt;&gt;"",Assets!H39,"Please complete the SSM column in the Asset sheet"),"")</f>
        <v/>
      </c>
      <c r="AT41" s="106"/>
      <c r="AU41" s="354" t="str">
        <f>IFERROR(IF(AND($A41&lt;&gt;"",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41" s="104"/>
      <c r="AW41" s="356" t="str" cm="1">
        <f t="array" ref="AW41">IFERROR(IF(AND($A41&lt;&gt;"",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41" s="93"/>
      <c r="AY41" s="94"/>
      <c r="AZ41" s="94"/>
      <c r="BA41" s="94"/>
      <c r="BB41" s="358"/>
      <c r="BC41" s="356" t="str" cm="1">
        <f t="array" ref="BC41">IFERROR(IF(AND($A41&lt;&gt;"",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41" s="93"/>
      <c r="BE41" s="94"/>
      <c r="BF41" s="94"/>
      <c r="BG41" s="123"/>
      <c r="BH41" s="585" t="str">
        <f>IF($A41&lt;&gt;"",
IF(Assets!I39&lt;&gt;"",Assets!I39,"Please complete the SCM column in the Asset sheet"),"")</f>
        <v/>
      </c>
      <c r="BI41" s="581"/>
      <c r="BJ41" s="387" t="str">
        <f>IFERROR(IF(AND($A41&lt;&gt;"",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41" s="330" t="str" cm="1">
        <f t="array" ref="BK41">IF($A41&lt;&gt;"",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41" s="204" t="str">
        <f>Assets!P39</f>
        <v/>
      </c>
      <c r="BM41" s="205" t="str">
        <f>Assets!Q39</f>
        <v/>
      </c>
      <c r="BN41" s="208"/>
      <c r="BO41" s="389" t="str">
        <f>IF($A41&lt;&gt;"",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41" s="117"/>
      <c r="BQ41" s="389" t="str">
        <f>IFERROR(IF($A41&lt;&gt;"",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41" s="117"/>
      <c r="BS41" s="389" t="str">
        <f>IF($A41&lt;&gt;"",
   IF(EInfo_ACM[[#This Row],[List of network interfaces]]&lt;&gt;"",
   _xlfn.TEXTJOIN(", "&amp;CHAR(10),TRUE, "E.Info.SCM-1.SCM.States", "E.Info.SCM-1.SCM.SecObjectives"), ""), "")</f>
        <v/>
      </c>
      <c r="BT41" s="117"/>
      <c r="BU41" s="391" t="str">
        <f>IFERROR(IF(AND($A41&lt;&gt;"",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41" s="93"/>
      <c r="BW41" s="94"/>
      <c r="BX41" s="94"/>
      <c r="BY41" s="94"/>
      <c r="BZ41" s="358"/>
      <c r="CA41" s="391" t="str">
        <f>IFERROR(IF(AND($A41&lt;&gt;"",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41" s="93"/>
      <c r="CC41" s="94"/>
      <c r="CD41" s="358"/>
      <c r="CE41" s="130" t="str">
        <f>IFERROR(IF(AND($A41&lt;&gt;"",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41" s="93"/>
      <c r="CG41" s="94"/>
      <c r="CH41" s="94"/>
      <c r="CI41" s="358"/>
      <c r="CJ41" s="401"/>
      <c r="CK41" s="394" t="str" cm="1">
        <f t="array" ref="CK41">IFERROR(IF($A41&lt;&gt;"",
     _xlfn.IFS(EInfo_ACM[[#This Row],[E.Info.DT.DLM-1]]="N/A", "N/A", AND(VALUE(RIGHT(EInfo_ACM[[#This Row],[E.Info.DT.DLM-1]]))=1, OR(EInfo_ACM[[#This Row],[Type]]="Privacy", AND(Assets!E39="Sensitive", EInfo_ACM[[#This Row],[Type]]="Security", Assets!D39="Parameter"))), "E.Info.DLM-1.DLM"), ""), "")</f>
        <v/>
      </c>
      <c r="CL41" s="397"/>
      <c r="CM41" s="120"/>
      <c r="CN41" s="142" t="str">
        <f>IFERROR(IF($A41&lt;&gt;"",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41" s="143"/>
      <c r="CP41" s="110" t="str">
        <f>IF($A41&lt;&gt;"",
IF(Assets!J39&lt;&gt;"",Assets!J39,"Please complete the CCK column in the Asset sheet"),"")</f>
        <v/>
      </c>
      <c r="CQ41" s="209"/>
      <c r="CR41" s="404" t="str">
        <f>IFERROR(IF($A41&lt;&gt;"",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41" s="86"/>
      <c r="CT41" s="210"/>
      <c r="CU41" s="404" t="str">
        <f>IFERROR(IF($A41&lt;&gt;"",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41" s="86"/>
      <c r="CW41" s="210"/>
      <c r="CX41" s="330" t="str">
        <f>IFERROR(IF($A41&lt;&gt;"",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41" s="86"/>
      <c r="CZ41" s="14"/>
    </row>
    <row r="42" spans="1:104" x14ac:dyDescent="0.3">
      <c r="A42" s="241" t="str">
        <f>IF(Assets!A40="", "", Assets!A40)</f>
        <v/>
      </c>
      <c r="B42" s="141" t="str">
        <f>IF(Assets!C40="", "", Assets!C40)</f>
        <v/>
      </c>
      <c r="C42" s="191"/>
      <c r="D42" s="330" t="str" cm="1">
        <f t="array" ref="D42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AND(Assets!E40="Sensitive", EInfo_ACM[[#This Row],[Type]]="Security", Assets!D40="Parameter"), "E.Info.DLM-1.SenSecParam"), ""), ""),
          IF(EInfo_ACM[[#This Row],[Type]]="Privacy", "E.Info.UNM-1.PersonalInformation", ""),
          "E.Info.GEC-1."&amp;EInfo_ACM[[#This Row],[Type]]&amp;"Asset"
),""), "")</f>
        <v/>
      </c>
      <c r="E42" s="89" t="str">
        <f>IF(Assets!B40="", "", Assets!B40)</f>
        <v/>
      </c>
      <c r="F42" s="186" t="str">
        <f>IF(EInfo_ACM[[#This Row],[Type]]&lt;&gt;"", _xlfn.TEXTJOIN(", "&amp;CHAR(10), TRUE, "E.Info.ACM-1."&amp;EInfo_ACM[[#This Row],[Type]]&amp;"Asset.Access"), "")</f>
        <v/>
      </c>
      <c r="G42" s="192" t="str">
        <f>IF(EInfo_ACM[[#This Row],[Assets]]&lt;&gt;"", IF(Assets!G40&lt;&gt;"", Assets!G40, "Please complete the Mapping_Asset_Entities tab"), "")</f>
        <v/>
      </c>
      <c r="H42" s="330" t="str" cm="1">
        <f t="array" ref="H42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42" s="52"/>
      <c r="J42" s="120"/>
      <c r="K42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42" s="87"/>
      <c r="M42" s="210"/>
      <c r="N42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42" s="87"/>
      <c r="P42" s="342"/>
      <c r="Q42" s="115"/>
      <c r="R42" s="171"/>
      <c r="S42" s="111"/>
      <c r="T42" s="112"/>
      <c r="U42" s="113"/>
      <c r="V42" s="113"/>
      <c r="W42" s="344" t="str" cm="1">
        <f t="array" ref="W42">IFERROR(IF($Y42&lt;&gt;"",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TRUE)&amp;".ACM."&amp;_xlfn.TEXTSPLIT(Assets!N40, ", "&amp;CHAR(10))&amp;"Interface"), "N/A"), ""), "N/A")</f>
        <v/>
      </c>
      <c r="X42" s="200" t="str">
        <f>IF(EInfo_ACM[[#This Row],[Assets]]&lt;&gt;"", IF(Assets!F40&lt;&gt;"", Assets!F40, "Please complete the Mapping_Asset_Interfaces tab"), "")</f>
        <v/>
      </c>
      <c r="Y42" s="91" t="str">
        <f>Assets!N40</f>
        <v/>
      </c>
      <c r="Z42" s="347"/>
      <c r="AA42" s="349" t="str" cm="1">
        <f t="array" ref="AA42">IFERROR(IF($Y42&lt;&gt;"",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42" s="201"/>
      <c r="AC42" s="105"/>
      <c r="AD42" s="106"/>
      <c r="AE42" s="106"/>
      <c r="AF42" s="354" t="str">
        <f>IFERROR(IF($A42&lt;&gt;"",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42" s="352"/>
      <c r="AH42" s="133" t="str">
        <f>IFERROR(IF($A42&lt;&gt;"",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42" s="352"/>
      <c r="AJ42" s="105"/>
      <c r="AK42" s="354" t="str">
        <f>IFERROR(IF($A42&lt;&gt;"",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42" s="352"/>
      <c r="AM42" s="114"/>
      <c r="AN42" s="107"/>
      <c r="AO42" s="354" t="str">
        <f>IFERROR(IF($A42&lt;&gt;"",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42" s="86"/>
      <c r="AQ42" s="349" t="str">
        <f>IFERROR(IF($A42&lt;&gt;"",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42" s="103"/>
      <c r="AS42" s="202" t="str">
        <f>IF($A42&lt;&gt;"",
IF(Assets!H40&lt;&gt;"",Assets!H40,"Please complete the SSM column in the Asset sheet"),"")</f>
        <v/>
      </c>
      <c r="AT42" s="106"/>
      <c r="AU42" s="354" t="str">
        <f>IFERROR(IF(AND($A42&lt;&gt;"",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42" s="103"/>
      <c r="AW42" s="356" t="str" cm="1">
        <f t="array" ref="AW42">IFERROR(IF(AND($A42&lt;&gt;"",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42" s="93"/>
      <c r="AY42" s="94"/>
      <c r="AZ42" s="94"/>
      <c r="BA42" s="94"/>
      <c r="BB42" s="358"/>
      <c r="BC42" s="356" t="str" cm="1">
        <f t="array" ref="BC42">IFERROR(IF(AND($A42&lt;&gt;"",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42" s="93"/>
      <c r="BE42" s="94"/>
      <c r="BF42" s="94"/>
      <c r="BG42" s="123"/>
      <c r="BH42" s="585" t="str">
        <f>IF($A42&lt;&gt;"",
IF(Assets!I40&lt;&gt;"",Assets!I40,"Please complete the SCM column in the Asset sheet"),"")</f>
        <v/>
      </c>
      <c r="BI42" s="581"/>
      <c r="BJ42" s="387" t="str">
        <f>IFERROR(IF(AND($A42&lt;&gt;"",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42" s="330" t="str" cm="1">
        <f t="array" ref="BK42">IF($A42&lt;&gt;"",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42" s="204" t="str">
        <f>Assets!P40</f>
        <v/>
      </c>
      <c r="BM42" s="205" t="str">
        <f>Assets!Q40</f>
        <v/>
      </c>
      <c r="BN42" s="207"/>
      <c r="BO42" s="389" t="str">
        <f>IF($A42&lt;&gt;"",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42" s="116"/>
      <c r="BQ42" s="389" t="str">
        <f>IFERROR(IF($A42&lt;&gt;"",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42" s="116"/>
      <c r="BS42" s="389" t="str">
        <f>IF($A42&lt;&gt;"",
   IF(EInfo_ACM[[#This Row],[List of network interfaces]]&lt;&gt;"",
   _xlfn.TEXTJOIN(", "&amp;CHAR(10),TRUE, "E.Info.SCM-1.SCM.States", "E.Info.SCM-1.SCM.SecObjectives"), ""), "")</f>
        <v/>
      </c>
      <c r="BT42" s="116"/>
      <c r="BU42" s="391" t="str">
        <f>IFERROR(IF(AND($A42&lt;&gt;"",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42" s="93"/>
      <c r="BW42" s="94"/>
      <c r="BX42" s="94"/>
      <c r="BY42" s="94"/>
      <c r="BZ42" s="358"/>
      <c r="CA42" s="391" t="str">
        <f>IFERROR(IF(AND($A42&lt;&gt;"",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42" s="93"/>
      <c r="CC42" s="94"/>
      <c r="CD42" s="358"/>
      <c r="CE42" s="130" t="str">
        <f>IFERROR(IF(AND($A42&lt;&gt;"",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42" s="93"/>
      <c r="CG42" s="94"/>
      <c r="CH42" s="94"/>
      <c r="CI42" s="358"/>
      <c r="CJ42" s="401"/>
      <c r="CK42" s="394" t="str" cm="1">
        <f t="array" ref="CK42">IFERROR(IF($A42&lt;&gt;"",
     _xlfn.IFS(EInfo_ACM[[#This Row],[E.Info.DT.DLM-1]]="N/A", "N/A", AND(VALUE(RIGHT(EInfo_ACM[[#This Row],[E.Info.DT.DLM-1]]))=1, OR(EInfo_ACM[[#This Row],[Type]]="Privacy", AND(Assets!E40="Sensitive", EInfo_ACM[[#This Row],[Type]]="Security", Assets!D40="Parameter"))), "E.Info.DLM-1.DLM"), ""), "")</f>
        <v/>
      </c>
      <c r="CL42" s="397"/>
      <c r="CM42" s="120"/>
      <c r="CN42" s="142" t="str">
        <f>IFERROR(IF($A42&lt;&gt;"",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42" s="143"/>
      <c r="CP42" s="110" t="str">
        <f>IF($A42&lt;&gt;"",
IF(Assets!J40&lt;&gt;"",Assets!J40,"Please complete the CCK column in the Asset sheet"),"")</f>
        <v/>
      </c>
      <c r="CQ42" s="209"/>
      <c r="CR42" s="404" t="str">
        <f>IFERROR(IF($A42&lt;&gt;"",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42" s="86"/>
      <c r="CT42" s="210"/>
      <c r="CU42" s="404" t="str">
        <f>IFERROR(IF($A42&lt;&gt;"",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42" s="86"/>
      <c r="CW42" s="210"/>
      <c r="CX42" s="330" t="str">
        <f>IFERROR(IF($A42&lt;&gt;"",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42" s="86"/>
      <c r="CZ42" s="14"/>
    </row>
    <row r="43" spans="1:104" x14ac:dyDescent="0.3">
      <c r="A43" s="241" t="str">
        <f>IF(Assets!A41="", "", Assets!A41)</f>
        <v/>
      </c>
      <c r="B43" s="141" t="str">
        <f>IF(Assets!C41="", "", Assets!C41)</f>
        <v/>
      </c>
      <c r="C43" s="191"/>
      <c r="D43" s="330" t="str" cm="1">
        <f t="array" ref="D43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AND(Assets!E41="Sensitive", EInfo_ACM[[#This Row],[Type]]="Security", Assets!D41="Parameter"), "E.Info.DLM-1.SenSecParam"), ""), ""),
          IF(EInfo_ACM[[#This Row],[Type]]="Privacy", "E.Info.UNM-1.PersonalInformation", ""),
          "E.Info.GEC-1."&amp;EInfo_ACM[[#This Row],[Type]]&amp;"Asset"
),""), "")</f>
        <v/>
      </c>
      <c r="E43" s="89" t="str">
        <f>IF(Assets!B41="", "", Assets!B41)</f>
        <v/>
      </c>
      <c r="F43" s="186" t="str">
        <f>IF(EInfo_ACM[[#This Row],[Type]]&lt;&gt;"", _xlfn.TEXTJOIN(", "&amp;CHAR(10), TRUE, "E.Info.ACM-1."&amp;EInfo_ACM[[#This Row],[Type]]&amp;"Asset.Access"), "")</f>
        <v/>
      </c>
      <c r="G43" s="192" t="str">
        <f>IF(EInfo_ACM[[#This Row],[Assets]]&lt;&gt;"", IF(Assets!G41&lt;&gt;"", Assets!G41, "Please complete the Mapping_Asset_Entities tab"), "")</f>
        <v/>
      </c>
      <c r="H43" s="330" t="str" cm="1">
        <f t="array" ref="H43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43" s="52"/>
      <c r="J43" s="120"/>
      <c r="K43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43" s="87"/>
      <c r="M43" s="210"/>
      <c r="N43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43" s="87"/>
      <c r="P43" s="342"/>
      <c r="Q43" s="115"/>
      <c r="R43" s="171"/>
      <c r="S43" s="111"/>
      <c r="T43" s="112"/>
      <c r="U43" s="113"/>
      <c r="V43" s="113"/>
      <c r="W43" s="344" t="str" cm="1">
        <f t="array" ref="W43">IFERROR(IF($Y43&lt;&gt;"",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TRUE)&amp;".ACM."&amp;_xlfn.TEXTSPLIT(Assets!N41, ", "&amp;CHAR(10))&amp;"Interface"), "N/A"), ""), "N/A")</f>
        <v/>
      </c>
      <c r="X43" s="200" t="str">
        <f>IF(EInfo_ACM[[#This Row],[Assets]]&lt;&gt;"", IF(Assets!F41&lt;&gt;"", Assets!F41, "Please complete the Mapping_Asset_Interfaces tab"), "")</f>
        <v/>
      </c>
      <c r="Y43" s="91" t="str">
        <f>Assets!N41</f>
        <v/>
      </c>
      <c r="Z43" s="347"/>
      <c r="AA43" s="349" t="str" cm="1">
        <f t="array" ref="AA43">IFERROR(IF($Y43&lt;&gt;"",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43" s="201"/>
      <c r="AC43" s="105"/>
      <c r="AD43" s="106"/>
      <c r="AE43" s="106"/>
      <c r="AF43" s="354" t="str">
        <f>IFERROR(IF($A43&lt;&gt;"",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43" s="352"/>
      <c r="AH43" s="133" t="str">
        <f>IFERROR(IF($A43&lt;&gt;"",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43" s="352"/>
      <c r="AJ43" s="105"/>
      <c r="AK43" s="354" t="str">
        <f>IFERROR(IF($A43&lt;&gt;"",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43" s="352"/>
      <c r="AM43" s="114"/>
      <c r="AN43" s="107"/>
      <c r="AO43" s="354" t="str">
        <f>IFERROR(IF($A43&lt;&gt;"",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43" s="86"/>
      <c r="AQ43" s="349" t="str">
        <f>IFERROR(IF($A43&lt;&gt;"",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43" s="87"/>
      <c r="AS43" s="202" t="str">
        <f>IF($A43&lt;&gt;"",
IF(Assets!H41&lt;&gt;"",Assets!H41,"Please complete the SSM column in the Asset sheet"),"")</f>
        <v/>
      </c>
      <c r="AT43" s="106"/>
      <c r="AU43" s="354" t="str">
        <f>IFERROR(IF(AND($A43&lt;&gt;"",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43" s="87"/>
      <c r="AW43" s="356" t="str" cm="1">
        <f t="array" ref="AW43">IFERROR(IF(AND($A43&lt;&gt;"",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43" s="93"/>
      <c r="AY43" s="94"/>
      <c r="AZ43" s="94"/>
      <c r="BA43" s="94"/>
      <c r="BB43" s="358"/>
      <c r="BC43" s="356" t="str" cm="1">
        <f t="array" ref="BC43">IFERROR(IF(AND($A43&lt;&gt;"",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43" s="93"/>
      <c r="BE43" s="94"/>
      <c r="BF43" s="94"/>
      <c r="BG43" s="123"/>
      <c r="BH43" s="585" t="str">
        <f>IF($A43&lt;&gt;"",
IF(Assets!I41&lt;&gt;"",Assets!I41,"Please complete the SCM column in the Asset sheet"),"")</f>
        <v/>
      </c>
      <c r="BI43" s="581"/>
      <c r="BJ43" s="387" t="str">
        <f>IFERROR(IF(AND($A43&lt;&gt;"",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43" s="330" t="str" cm="1">
        <f t="array" ref="BK43">IF($A43&lt;&gt;"",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43" s="204" t="str">
        <f>Assets!P41</f>
        <v/>
      </c>
      <c r="BM43" s="205" t="str">
        <f>Assets!Q41</f>
        <v/>
      </c>
      <c r="BN43" s="161"/>
      <c r="BO43" s="389" t="str">
        <f>IF($A43&lt;&gt;"",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43" s="86"/>
      <c r="BQ43" s="389" t="str">
        <f>IFERROR(IF($A43&lt;&gt;"",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43" s="86"/>
      <c r="BS43" s="389" t="str">
        <f>IF($A43&lt;&gt;"",
   IF(EInfo_ACM[[#This Row],[List of network interfaces]]&lt;&gt;"",
   _xlfn.TEXTJOIN(", "&amp;CHAR(10),TRUE, "E.Info.SCM-1.SCM.States", "E.Info.SCM-1.SCM.SecObjectives"), ""), "")</f>
        <v/>
      </c>
      <c r="BT43" s="86"/>
      <c r="BU43" s="391" t="str">
        <f>IFERROR(IF(AND($A43&lt;&gt;"",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43" s="93"/>
      <c r="BW43" s="94"/>
      <c r="BX43" s="94"/>
      <c r="BY43" s="94"/>
      <c r="BZ43" s="358"/>
      <c r="CA43" s="391" t="str">
        <f>IFERROR(IF(AND($A43&lt;&gt;"",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43" s="93"/>
      <c r="CC43" s="94"/>
      <c r="CD43" s="358"/>
      <c r="CE43" s="130" t="str">
        <f>IFERROR(IF(AND($A43&lt;&gt;"",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43" s="93"/>
      <c r="CG43" s="94"/>
      <c r="CH43" s="94"/>
      <c r="CI43" s="358"/>
      <c r="CJ43" s="401"/>
      <c r="CK43" s="394" t="str" cm="1">
        <f t="array" ref="CK43">IFERROR(IF($A43&lt;&gt;"",
     _xlfn.IFS(EInfo_ACM[[#This Row],[E.Info.DT.DLM-1]]="N/A", "N/A", AND(VALUE(RIGHT(EInfo_ACM[[#This Row],[E.Info.DT.DLM-1]]))=1, OR(EInfo_ACM[[#This Row],[Type]]="Privacy", AND(Assets!E41="Sensitive", EInfo_ACM[[#This Row],[Type]]="Security", Assets!D41="Parameter"))), "E.Info.DLM-1.DLM"), ""), "")</f>
        <v/>
      </c>
      <c r="CL43" s="397"/>
      <c r="CM43" s="120"/>
      <c r="CN43" s="142" t="str">
        <f>IFERROR(IF($A43&lt;&gt;"",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43" s="143"/>
      <c r="CP43" s="110" t="str">
        <f>IF($A43&lt;&gt;"",
IF(Assets!J41&lt;&gt;"",Assets!J41,"Please complete the CCK column in the Asset sheet"),"")</f>
        <v/>
      </c>
      <c r="CQ43" s="209"/>
      <c r="CR43" s="404" t="str">
        <f>IFERROR(IF($A43&lt;&gt;"",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43" s="86"/>
      <c r="CT43" s="210"/>
      <c r="CU43" s="404" t="str">
        <f>IFERROR(IF($A43&lt;&gt;"",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43" s="86"/>
      <c r="CW43" s="210"/>
      <c r="CX43" s="330" t="str">
        <f>IFERROR(IF($A43&lt;&gt;"",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43" s="86"/>
      <c r="CZ43" s="14"/>
    </row>
    <row r="44" spans="1:104" x14ac:dyDescent="0.3">
      <c r="A44" s="241" t="str">
        <f>IF(Assets!A42="", "", Assets!A42)</f>
        <v/>
      </c>
      <c r="B44" s="141" t="str">
        <f>IF(Assets!C42="", "", Assets!C42)</f>
        <v/>
      </c>
      <c r="C44" s="191"/>
      <c r="D44" s="330" t="str" cm="1">
        <f t="array" ref="D44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AND(Assets!E42="Sensitive", EInfo_ACM[[#This Row],[Type]]="Security", Assets!D42="Parameter"), "E.Info.DLM-1.SenSecParam"), ""), ""),
          IF(EInfo_ACM[[#This Row],[Type]]="Privacy", "E.Info.UNM-1.PersonalInformation", ""),
          "E.Info.GEC-1."&amp;EInfo_ACM[[#This Row],[Type]]&amp;"Asset"
),""), "")</f>
        <v/>
      </c>
      <c r="E44" s="89" t="str">
        <f>IF(Assets!B42="", "", Assets!B42)</f>
        <v/>
      </c>
      <c r="F44" s="186" t="str">
        <f>IF(EInfo_ACM[[#This Row],[Type]]&lt;&gt;"", _xlfn.TEXTJOIN(", "&amp;CHAR(10), TRUE, "E.Info.ACM-1."&amp;EInfo_ACM[[#This Row],[Type]]&amp;"Asset.Access"), "")</f>
        <v/>
      </c>
      <c r="G44" s="192" t="str">
        <f>IF(EInfo_ACM[[#This Row],[Assets]]&lt;&gt;"", IF(Assets!G42&lt;&gt;"", Assets!G42, "Please complete the Mapping_Asset_Entities tab"), "")</f>
        <v/>
      </c>
      <c r="H44" s="330" t="str" cm="1">
        <f t="array" ref="H44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44" s="52"/>
      <c r="J44" s="120"/>
      <c r="K44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44" s="87"/>
      <c r="M44" s="210"/>
      <c r="N44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44" s="87"/>
      <c r="P44" s="342"/>
      <c r="Q44" s="115"/>
      <c r="R44" s="171"/>
      <c r="S44" s="111"/>
      <c r="T44" s="112"/>
      <c r="U44" s="113"/>
      <c r="V44" s="113"/>
      <c r="W44" s="344" t="str" cm="1">
        <f t="array" ref="W44">IFERROR(IF($Y44&lt;&gt;"",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TRUE)&amp;".ACM."&amp;_xlfn.TEXTSPLIT(Assets!N42, ", "&amp;CHAR(10))&amp;"Interface"), "N/A"), ""), "N/A")</f>
        <v/>
      </c>
      <c r="X44" s="200" t="str">
        <f>IF(EInfo_ACM[[#This Row],[Assets]]&lt;&gt;"", IF(Assets!F42&lt;&gt;"", Assets!F42, "Please complete the Mapping_Asset_Interfaces tab"), "")</f>
        <v/>
      </c>
      <c r="Y44" s="91" t="str">
        <f>Assets!N42</f>
        <v/>
      </c>
      <c r="Z44" s="347"/>
      <c r="AA44" s="349" t="str" cm="1">
        <f t="array" ref="AA44">IFERROR(IF($Y44&lt;&gt;"",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44" s="201"/>
      <c r="AC44" s="105"/>
      <c r="AD44" s="106"/>
      <c r="AE44" s="106"/>
      <c r="AF44" s="354" t="str">
        <f>IFERROR(IF($A44&lt;&gt;"",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44" s="352"/>
      <c r="AH44" s="133" t="str">
        <f>IFERROR(IF($A44&lt;&gt;"",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44" s="352"/>
      <c r="AJ44" s="105"/>
      <c r="AK44" s="354" t="str">
        <f>IFERROR(IF($A44&lt;&gt;"",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44" s="352"/>
      <c r="AM44" s="114"/>
      <c r="AN44" s="107"/>
      <c r="AO44" s="354" t="str">
        <f>IFERROR(IF($A44&lt;&gt;"",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44" s="86"/>
      <c r="AQ44" s="349" t="str">
        <f>IFERROR(IF($A44&lt;&gt;"",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44" s="87"/>
      <c r="AS44" s="202" t="str">
        <f>IF($A44&lt;&gt;"",
IF(Assets!H42&lt;&gt;"",Assets!H42,"Please complete the SSM column in the Asset sheet"),"")</f>
        <v/>
      </c>
      <c r="AT44" s="106"/>
      <c r="AU44" s="354" t="str">
        <f>IFERROR(IF(AND($A44&lt;&gt;"",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44" s="87"/>
      <c r="AW44" s="356" t="str" cm="1">
        <f t="array" ref="AW44">IFERROR(IF(AND($A44&lt;&gt;"",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44" s="93"/>
      <c r="AY44" s="94"/>
      <c r="AZ44" s="94"/>
      <c r="BA44" s="94"/>
      <c r="BB44" s="358"/>
      <c r="BC44" s="356" t="str" cm="1">
        <f t="array" ref="BC44">IFERROR(IF(AND($A44&lt;&gt;"",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44" s="93"/>
      <c r="BE44" s="94"/>
      <c r="BF44" s="94"/>
      <c r="BG44" s="123"/>
      <c r="BH44" s="585" t="str">
        <f>IF($A44&lt;&gt;"",
IF(Assets!I42&lt;&gt;"",Assets!I42,"Please complete the SCM column in the Asset sheet"),"")</f>
        <v/>
      </c>
      <c r="BI44" s="581"/>
      <c r="BJ44" s="387" t="str">
        <f>IFERROR(IF(AND($A44&lt;&gt;"",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44" s="330" t="str" cm="1">
        <f t="array" ref="BK44">IF($A44&lt;&gt;"",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44" s="204" t="str">
        <f>Assets!P42</f>
        <v/>
      </c>
      <c r="BM44" s="205" t="str">
        <f>Assets!Q42</f>
        <v/>
      </c>
      <c r="BN44" s="161"/>
      <c r="BO44" s="389" t="str">
        <f>IF($A44&lt;&gt;"",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44" s="86"/>
      <c r="BQ44" s="389" t="str">
        <f>IFERROR(IF($A44&lt;&gt;"",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44" s="86"/>
      <c r="BS44" s="389" t="str">
        <f>IF($A44&lt;&gt;"",
   IF(EInfo_ACM[[#This Row],[List of network interfaces]]&lt;&gt;"",
   _xlfn.TEXTJOIN(", "&amp;CHAR(10),TRUE, "E.Info.SCM-1.SCM.States", "E.Info.SCM-1.SCM.SecObjectives"), ""), "")</f>
        <v/>
      </c>
      <c r="BT44" s="86"/>
      <c r="BU44" s="391" t="str">
        <f>IFERROR(IF(AND($A44&lt;&gt;"",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44" s="93"/>
      <c r="BW44" s="94"/>
      <c r="BX44" s="94"/>
      <c r="BY44" s="94"/>
      <c r="BZ44" s="358"/>
      <c r="CA44" s="391" t="str">
        <f>IFERROR(IF(AND($A44&lt;&gt;"",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44" s="93"/>
      <c r="CC44" s="94"/>
      <c r="CD44" s="358"/>
      <c r="CE44" s="130" t="str">
        <f>IFERROR(IF(AND($A44&lt;&gt;"",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44" s="93"/>
      <c r="CG44" s="94"/>
      <c r="CH44" s="94"/>
      <c r="CI44" s="358"/>
      <c r="CJ44" s="401"/>
      <c r="CK44" s="394" t="str" cm="1">
        <f t="array" ref="CK44">IFERROR(IF($A44&lt;&gt;"",
     _xlfn.IFS(EInfo_ACM[[#This Row],[E.Info.DT.DLM-1]]="N/A", "N/A", AND(VALUE(RIGHT(EInfo_ACM[[#This Row],[E.Info.DT.DLM-1]]))=1, OR(EInfo_ACM[[#This Row],[Type]]="Privacy", AND(Assets!E42="Sensitive", EInfo_ACM[[#This Row],[Type]]="Security", Assets!D42="Parameter"))), "E.Info.DLM-1.DLM"), ""), "")</f>
        <v/>
      </c>
      <c r="CL44" s="397"/>
      <c r="CM44" s="120"/>
      <c r="CN44" s="142" t="str">
        <f>IFERROR(IF($A44&lt;&gt;"",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44" s="143"/>
      <c r="CP44" s="110" t="str">
        <f>IF($A44&lt;&gt;"",
IF(Assets!J42&lt;&gt;"",Assets!J42,"Please complete the CCK column in the Asset sheet"),"")</f>
        <v/>
      </c>
      <c r="CQ44" s="209"/>
      <c r="CR44" s="404" t="str">
        <f>IFERROR(IF($A44&lt;&gt;"",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44" s="86"/>
      <c r="CT44" s="210"/>
      <c r="CU44" s="404" t="str">
        <f>IFERROR(IF($A44&lt;&gt;"",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44" s="86"/>
      <c r="CW44" s="210"/>
      <c r="CX44" s="330" t="str">
        <f>IFERROR(IF($A44&lt;&gt;"",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44" s="86"/>
      <c r="CZ44" s="14"/>
    </row>
    <row r="45" spans="1:104" x14ac:dyDescent="0.3">
      <c r="A45" s="241" t="str">
        <f>IF(Assets!A43="", "", Assets!A43)</f>
        <v/>
      </c>
      <c r="B45" s="141" t="str">
        <f>IF(Assets!C43="", "", Assets!C43)</f>
        <v/>
      </c>
      <c r="C45" s="191"/>
      <c r="D45" s="330" t="str" cm="1">
        <f t="array" ref="D45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AND(Assets!E43="Sensitive", EInfo_ACM[[#This Row],[Type]]="Security", Assets!D43="Parameter"), "E.Info.DLM-1.SenSecParam"), ""), ""),
          IF(EInfo_ACM[[#This Row],[Type]]="Privacy", "E.Info.UNM-1.PersonalInformation", ""),
          "E.Info.GEC-1."&amp;EInfo_ACM[[#This Row],[Type]]&amp;"Asset"
),""), "")</f>
        <v/>
      </c>
      <c r="E45" s="89" t="str">
        <f>IF(Assets!B43="", "", Assets!B43)</f>
        <v/>
      </c>
      <c r="F45" s="186" t="str">
        <f>IF(EInfo_ACM[[#This Row],[Type]]&lt;&gt;"", _xlfn.TEXTJOIN(", "&amp;CHAR(10), TRUE, "E.Info.ACM-1."&amp;EInfo_ACM[[#This Row],[Type]]&amp;"Asset.Access"), "")</f>
        <v/>
      </c>
      <c r="G45" s="192" t="str">
        <f>IF(EInfo_ACM[[#This Row],[Assets]]&lt;&gt;"", IF(Assets!G43&lt;&gt;"", Assets!G43, "Please complete the Mapping_Asset_Entities tab"), "")</f>
        <v/>
      </c>
      <c r="H45" s="330" t="str" cm="1">
        <f t="array" ref="H45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45" s="52"/>
      <c r="J45" s="120"/>
      <c r="K45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45" s="87"/>
      <c r="M45" s="210"/>
      <c r="N45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45" s="87"/>
      <c r="P45" s="342"/>
      <c r="Q45" s="115"/>
      <c r="R45" s="171"/>
      <c r="S45" s="111"/>
      <c r="T45" s="112"/>
      <c r="U45" s="113"/>
      <c r="V45" s="113"/>
      <c r="W45" s="344" t="str" cm="1">
        <f t="array" ref="W45">IFERROR(IF($Y45&lt;&gt;"",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TRUE)&amp;".ACM."&amp;_xlfn.TEXTSPLIT(Assets!N43, ", "&amp;CHAR(10))&amp;"Interface"), "N/A"), ""), "N/A")</f>
        <v/>
      </c>
      <c r="X45" s="200" t="str">
        <f>IF(EInfo_ACM[[#This Row],[Assets]]&lt;&gt;"", IF(Assets!F43&lt;&gt;"", Assets!F43, "Please complete the Mapping_Asset_Interfaces tab"), "")</f>
        <v/>
      </c>
      <c r="Y45" s="91" t="str">
        <f>Assets!N43</f>
        <v/>
      </c>
      <c r="Z45" s="347"/>
      <c r="AA45" s="349" t="str" cm="1">
        <f t="array" ref="AA45">IFERROR(IF($Y45&lt;&gt;"",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45" s="201"/>
      <c r="AC45" s="105"/>
      <c r="AD45" s="106"/>
      <c r="AE45" s="106"/>
      <c r="AF45" s="354" t="str">
        <f>IFERROR(IF($A45&lt;&gt;"",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45" s="352"/>
      <c r="AH45" s="133" t="str">
        <f>IFERROR(IF($A45&lt;&gt;"",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45" s="352"/>
      <c r="AJ45" s="105"/>
      <c r="AK45" s="354" t="str">
        <f>IFERROR(IF($A45&lt;&gt;"",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45" s="352"/>
      <c r="AM45" s="114"/>
      <c r="AN45" s="107"/>
      <c r="AO45" s="354" t="str">
        <f>IFERROR(IF($A45&lt;&gt;"",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45" s="86"/>
      <c r="AQ45" s="349" t="str">
        <f>IFERROR(IF($A45&lt;&gt;"",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45" s="87"/>
      <c r="AS45" s="202" t="str">
        <f>IF($A45&lt;&gt;"",
IF(Assets!H43&lt;&gt;"",Assets!H43,"Please complete the SSM column in the Asset sheet"),"")</f>
        <v/>
      </c>
      <c r="AT45" s="106"/>
      <c r="AU45" s="354" t="str">
        <f>IFERROR(IF(AND($A45&lt;&gt;"",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45" s="87"/>
      <c r="AW45" s="356" t="str" cm="1">
        <f t="array" ref="AW45">IFERROR(IF(AND($A45&lt;&gt;"",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45" s="93"/>
      <c r="AY45" s="94"/>
      <c r="AZ45" s="94"/>
      <c r="BA45" s="94"/>
      <c r="BB45" s="358"/>
      <c r="BC45" s="356" t="str" cm="1">
        <f t="array" ref="BC45">IFERROR(IF(AND($A45&lt;&gt;"",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45" s="93"/>
      <c r="BE45" s="94"/>
      <c r="BF45" s="94"/>
      <c r="BG45" s="123"/>
      <c r="BH45" s="585" t="str">
        <f>IF($A45&lt;&gt;"",
IF(Assets!I43&lt;&gt;"",Assets!I43,"Please complete the SCM column in the Asset sheet"),"")</f>
        <v/>
      </c>
      <c r="BI45" s="581"/>
      <c r="BJ45" s="387" t="str">
        <f>IFERROR(IF(AND($A45&lt;&gt;"",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45" s="330" t="str" cm="1">
        <f t="array" ref="BK45">IF($A45&lt;&gt;"",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45" s="204" t="str">
        <f>Assets!P43</f>
        <v/>
      </c>
      <c r="BM45" s="205" t="str">
        <f>Assets!Q43</f>
        <v/>
      </c>
      <c r="BN45" s="161"/>
      <c r="BO45" s="389" t="str">
        <f>IF($A45&lt;&gt;"",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45" s="86"/>
      <c r="BQ45" s="389" t="str">
        <f>IFERROR(IF($A45&lt;&gt;"",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45" s="86"/>
      <c r="BS45" s="389" t="str">
        <f>IF($A45&lt;&gt;"",
   IF(EInfo_ACM[[#This Row],[List of network interfaces]]&lt;&gt;"",
   _xlfn.TEXTJOIN(", "&amp;CHAR(10),TRUE, "E.Info.SCM-1.SCM.States", "E.Info.SCM-1.SCM.SecObjectives"), ""), "")</f>
        <v/>
      </c>
      <c r="BT45" s="86"/>
      <c r="BU45" s="391" t="str">
        <f>IFERROR(IF(AND($A45&lt;&gt;"",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45" s="93"/>
      <c r="BW45" s="94"/>
      <c r="BX45" s="94"/>
      <c r="BY45" s="94"/>
      <c r="BZ45" s="358"/>
      <c r="CA45" s="391" t="str">
        <f>IFERROR(IF(AND($A45&lt;&gt;"",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45" s="93"/>
      <c r="CC45" s="94"/>
      <c r="CD45" s="358"/>
      <c r="CE45" s="130" t="str">
        <f>IFERROR(IF(AND($A45&lt;&gt;"",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45" s="93"/>
      <c r="CG45" s="94"/>
      <c r="CH45" s="94"/>
      <c r="CI45" s="358"/>
      <c r="CJ45" s="401"/>
      <c r="CK45" s="394" t="str" cm="1">
        <f t="array" ref="CK45">IFERROR(IF($A45&lt;&gt;"",
     _xlfn.IFS(EInfo_ACM[[#This Row],[E.Info.DT.DLM-1]]="N/A", "N/A", AND(VALUE(RIGHT(EInfo_ACM[[#This Row],[E.Info.DT.DLM-1]]))=1, OR(EInfo_ACM[[#This Row],[Type]]="Privacy", AND(Assets!E43="Sensitive", EInfo_ACM[[#This Row],[Type]]="Security", Assets!D43="Parameter"))), "E.Info.DLM-1.DLM"), ""), "")</f>
        <v/>
      </c>
      <c r="CL45" s="397"/>
      <c r="CM45" s="120"/>
      <c r="CN45" s="142" t="str">
        <f>IFERROR(IF($A45&lt;&gt;"",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45" s="143"/>
      <c r="CP45" s="110" t="str">
        <f>IF($A45&lt;&gt;"",
IF(Assets!J43&lt;&gt;"",Assets!J43,"Please complete the CCK column in the Asset sheet"),"")</f>
        <v/>
      </c>
      <c r="CQ45" s="209"/>
      <c r="CR45" s="404" t="str">
        <f>IFERROR(IF($A45&lt;&gt;"",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45" s="86"/>
      <c r="CT45" s="210"/>
      <c r="CU45" s="404" t="str">
        <f>IFERROR(IF($A45&lt;&gt;"",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45" s="86"/>
      <c r="CW45" s="210"/>
      <c r="CX45" s="330" t="str">
        <f>IFERROR(IF($A45&lt;&gt;"",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45" s="86"/>
      <c r="CZ45" s="14"/>
    </row>
    <row r="46" spans="1:104" x14ac:dyDescent="0.3">
      <c r="A46" s="241" t="str">
        <f>IF(Assets!A44="", "", Assets!A44)</f>
        <v/>
      </c>
      <c r="B46" s="141" t="str">
        <f>IF(Assets!C44="", "", Assets!C44)</f>
        <v/>
      </c>
      <c r="C46" s="191"/>
      <c r="D46" s="330" t="str" cm="1">
        <f t="array" ref="D46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AND(Assets!E44="Sensitive", EInfo_ACM[[#This Row],[Type]]="Security", Assets!D44="Parameter"), "E.Info.DLM-1.SenSecParam"), ""), ""),
          IF(EInfo_ACM[[#This Row],[Type]]="Privacy", "E.Info.UNM-1.PersonalInformation", ""),
          "E.Info.GEC-1."&amp;EInfo_ACM[[#This Row],[Type]]&amp;"Asset"
),""), "")</f>
        <v/>
      </c>
      <c r="E46" s="89" t="str">
        <f>IF(Assets!B44="", "", Assets!B44)</f>
        <v/>
      </c>
      <c r="F46" s="186" t="str">
        <f>IF(EInfo_ACM[[#This Row],[Type]]&lt;&gt;"", _xlfn.TEXTJOIN(", "&amp;CHAR(10), TRUE, "E.Info.ACM-1."&amp;EInfo_ACM[[#This Row],[Type]]&amp;"Asset.Access"), "")</f>
        <v/>
      </c>
      <c r="G46" s="192" t="str">
        <f>IF(EInfo_ACM[[#This Row],[Assets]]&lt;&gt;"", IF(Assets!G44&lt;&gt;"", Assets!G44, "Please complete the Mapping_Asset_Entities tab"), "")</f>
        <v/>
      </c>
      <c r="H46" s="330" t="str" cm="1">
        <f t="array" ref="H46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46" s="52"/>
      <c r="J46" s="120"/>
      <c r="K46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46" s="87"/>
      <c r="M46" s="210"/>
      <c r="N46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46" s="87"/>
      <c r="P46" s="342"/>
      <c r="Q46" s="115"/>
      <c r="R46" s="171"/>
      <c r="S46" s="111"/>
      <c r="T46" s="112"/>
      <c r="U46" s="113"/>
      <c r="V46" s="113"/>
      <c r="W46" s="344" t="str" cm="1">
        <f t="array" ref="W46">IFERROR(IF($Y46&lt;&gt;"",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TRUE)&amp;".ACM."&amp;_xlfn.TEXTSPLIT(Assets!N44, ", "&amp;CHAR(10))&amp;"Interface"), "N/A"), ""), "N/A")</f>
        <v/>
      </c>
      <c r="X46" s="200" t="str">
        <f>IF(EInfo_ACM[[#This Row],[Assets]]&lt;&gt;"", IF(Assets!F44&lt;&gt;"", Assets!F44, "Please complete the Mapping_Asset_Interfaces tab"), "")</f>
        <v/>
      </c>
      <c r="Y46" s="91" t="str">
        <f>Assets!N44</f>
        <v/>
      </c>
      <c r="Z46" s="347"/>
      <c r="AA46" s="349" t="str" cm="1">
        <f t="array" ref="AA46">IFERROR(IF($Y46&lt;&gt;"",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46" s="201"/>
      <c r="AC46" s="105"/>
      <c r="AD46" s="106"/>
      <c r="AE46" s="106"/>
      <c r="AF46" s="354" t="str">
        <f>IFERROR(IF($A46&lt;&gt;"",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46" s="352"/>
      <c r="AH46" s="133" t="str">
        <f>IFERROR(IF($A46&lt;&gt;"",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46" s="352"/>
      <c r="AJ46" s="105"/>
      <c r="AK46" s="354" t="str">
        <f>IFERROR(IF($A46&lt;&gt;"",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46" s="352"/>
      <c r="AM46" s="114"/>
      <c r="AN46" s="107"/>
      <c r="AO46" s="354" t="str">
        <f>IFERROR(IF($A46&lt;&gt;"",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46" s="86"/>
      <c r="AQ46" s="349" t="str">
        <f>IFERROR(IF($A46&lt;&gt;"",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46" s="87"/>
      <c r="AS46" s="202" t="str">
        <f>IF($A46&lt;&gt;"",
IF(Assets!H44&lt;&gt;"",Assets!H44,"Please complete the SSM column in the Asset sheet"),"")</f>
        <v/>
      </c>
      <c r="AT46" s="106"/>
      <c r="AU46" s="354" t="str">
        <f>IFERROR(IF(AND($A46&lt;&gt;"",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46" s="87"/>
      <c r="AW46" s="356" t="str" cm="1">
        <f t="array" ref="AW46">IFERROR(IF(AND($A46&lt;&gt;"",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46" s="93"/>
      <c r="AY46" s="94"/>
      <c r="AZ46" s="94"/>
      <c r="BA46" s="94"/>
      <c r="BB46" s="358"/>
      <c r="BC46" s="356" t="str" cm="1">
        <f t="array" ref="BC46">IFERROR(IF(AND($A46&lt;&gt;"",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46" s="93"/>
      <c r="BE46" s="94"/>
      <c r="BF46" s="94"/>
      <c r="BG46" s="123"/>
      <c r="BH46" s="585" t="str">
        <f>IF($A46&lt;&gt;"",
IF(Assets!I44&lt;&gt;"",Assets!I44,"Please complete the SCM column in the Asset sheet"),"")</f>
        <v/>
      </c>
      <c r="BI46" s="581"/>
      <c r="BJ46" s="387" t="str">
        <f>IFERROR(IF(AND($A46&lt;&gt;"",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46" s="330" t="str" cm="1">
        <f t="array" ref="BK46">IF($A46&lt;&gt;"",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46" s="204" t="str">
        <f>Assets!P44</f>
        <v/>
      </c>
      <c r="BM46" s="205" t="str">
        <f>Assets!Q44</f>
        <v/>
      </c>
      <c r="BN46" s="161"/>
      <c r="BO46" s="389" t="str">
        <f>IF($A46&lt;&gt;"",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46" s="86"/>
      <c r="BQ46" s="389" t="str">
        <f>IFERROR(IF($A46&lt;&gt;"",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46" s="86"/>
      <c r="BS46" s="389" t="str">
        <f>IF($A46&lt;&gt;"",
   IF(EInfo_ACM[[#This Row],[List of network interfaces]]&lt;&gt;"",
   _xlfn.TEXTJOIN(", "&amp;CHAR(10),TRUE, "E.Info.SCM-1.SCM.States", "E.Info.SCM-1.SCM.SecObjectives"), ""), "")</f>
        <v/>
      </c>
      <c r="BT46" s="86"/>
      <c r="BU46" s="391" t="str">
        <f>IFERROR(IF(AND($A46&lt;&gt;"",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46" s="93"/>
      <c r="BW46" s="94"/>
      <c r="BX46" s="94"/>
      <c r="BY46" s="94"/>
      <c r="BZ46" s="358"/>
      <c r="CA46" s="391" t="str">
        <f>IFERROR(IF(AND($A46&lt;&gt;"",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46" s="93"/>
      <c r="CC46" s="94"/>
      <c r="CD46" s="358"/>
      <c r="CE46" s="130" t="str">
        <f>IFERROR(IF(AND($A46&lt;&gt;"",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46" s="93"/>
      <c r="CG46" s="94"/>
      <c r="CH46" s="94"/>
      <c r="CI46" s="358"/>
      <c r="CJ46" s="401"/>
      <c r="CK46" s="394" t="str" cm="1">
        <f t="array" ref="CK46">IFERROR(IF($A46&lt;&gt;"",
     _xlfn.IFS(EInfo_ACM[[#This Row],[E.Info.DT.DLM-1]]="N/A", "N/A", AND(VALUE(RIGHT(EInfo_ACM[[#This Row],[E.Info.DT.DLM-1]]))=1, OR(EInfo_ACM[[#This Row],[Type]]="Privacy", AND(Assets!E44="Sensitive", EInfo_ACM[[#This Row],[Type]]="Security", Assets!D44="Parameter"))), "E.Info.DLM-1.DLM"), ""), "")</f>
        <v/>
      </c>
      <c r="CL46" s="397"/>
      <c r="CM46" s="120"/>
      <c r="CN46" s="142" t="str">
        <f>IFERROR(IF($A46&lt;&gt;"",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46" s="143"/>
      <c r="CP46" s="110" t="str">
        <f>IF($A46&lt;&gt;"",
IF(Assets!J44&lt;&gt;"",Assets!J44,"Please complete the CCK column in the Asset sheet"),"")</f>
        <v/>
      </c>
      <c r="CQ46" s="209"/>
      <c r="CR46" s="404" t="str">
        <f>IFERROR(IF($A46&lt;&gt;"",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46" s="86"/>
      <c r="CT46" s="210"/>
      <c r="CU46" s="404" t="str">
        <f>IFERROR(IF($A46&lt;&gt;"",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46" s="86"/>
      <c r="CW46" s="210"/>
      <c r="CX46" s="330" t="str">
        <f>IFERROR(IF($A46&lt;&gt;"",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46" s="86"/>
      <c r="CZ46" s="14"/>
    </row>
    <row r="47" spans="1:104" x14ac:dyDescent="0.3">
      <c r="A47" s="241" t="str">
        <f>IF(Assets!A45="", "", Assets!A45)</f>
        <v/>
      </c>
      <c r="B47" s="141" t="str">
        <f>IF(Assets!C45="", "", Assets!C45)</f>
        <v/>
      </c>
      <c r="C47" s="191"/>
      <c r="D47" s="330" t="str" cm="1">
        <f t="array" ref="D47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AND(Assets!E45="Sensitive", EInfo_ACM[[#This Row],[Type]]="Security", Assets!D45="Parameter"), "E.Info.DLM-1.SenSecParam"), ""), ""),
          IF(EInfo_ACM[[#This Row],[Type]]="Privacy", "E.Info.UNM-1.PersonalInformation", ""),
          "E.Info.GEC-1."&amp;EInfo_ACM[[#This Row],[Type]]&amp;"Asset"
),""), "")</f>
        <v/>
      </c>
      <c r="E47" s="89" t="str">
        <f>IF(Assets!B45="", "", Assets!B45)</f>
        <v/>
      </c>
      <c r="F47" s="186" t="str">
        <f>IF(EInfo_ACM[[#This Row],[Type]]&lt;&gt;"", _xlfn.TEXTJOIN(", "&amp;CHAR(10), TRUE, "E.Info.ACM-1."&amp;EInfo_ACM[[#This Row],[Type]]&amp;"Asset.Access"), "")</f>
        <v/>
      </c>
      <c r="G47" s="192" t="str">
        <f>IF(EInfo_ACM[[#This Row],[Assets]]&lt;&gt;"", IF(Assets!G45&lt;&gt;"", Assets!G45, "Please complete the Mapping_Asset_Entities tab"), "")</f>
        <v/>
      </c>
      <c r="H47" s="330" t="str" cm="1">
        <f t="array" ref="H47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47" s="52"/>
      <c r="J47" s="120"/>
      <c r="K47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47" s="87"/>
      <c r="M47" s="210"/>
      <c r="N47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47" s="87"/>
      <c r="P47" s="342"/>
      <c r="Q47" s="115"/>
      <c r="R47" s="171"/>
      <c r="S47" s="111"/>
      <c r="T47" s="112"/>
      <c r="U47" s="113"/>
      <c r="V47" s="113"/>
      <c r="W47" s="344" t="str" cm="1">
        <f t="array" ref="W47">IFERROR(IF($Y47&lt;&gt;"",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TRUE)&amp;".ACM."&amp;_xlfn.TEXTSPLIT(Assets!N45, ", "&amp;CHAR(10))&amp;"Interface"), "N/A"), ""), "N/A")</f>
        <v/>
      </c>
      <c r="X47" s="200" t="str">
        <f>IF(EInfo_ACM[[#This Row],[Assets]]&lt;&gt;"", IF(Assets!F45&lt;&gt;"", Assets!F45, "Please complete the Mapping_Asset_Interfaces tab"), "")</f>
        <v/>
      </c>
      <c r="Y47" s="91" t="str">
        <f>Assets!N45</f>
        <v/>
      </c>
      <c r="Z47" s="347"/>
      <c r="AA47" s="349" t="str" cm="1">
        <f t="array" ref="AA47">IFERROR(IF($Y47&lt;&gt;"",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47" s="201"/>
      <c r="AC47" s="105"/>
      <c r="AD47" s="106"/>
      <c r="AE47" s="106"/>
      <c r="AF47" s="354" t="str">
        <f>IFERROR(IF($A47&lt;&gt;"",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47" s="352"/>
      <c r="AH47" s="133" t="str">
        <f>IFERROR(IF($A47&lt;&gt;"",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47" s="352"/>
      <c r="AJ47" s="105"/>
      <c r="AK47" s="354" t="str">
        <f>IFERROR(IF($A47&lt;&gt;"",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47" s="352"/>
      <c r="AM47" s="114"/>
      <c r="AN47" s="107"/>
      <c r="AO47" s="354" t="str">
        <f>IFERROR(IF($A47&lt;&gt;"",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47" s="86"/>
      <c r="AQ47" s="349" t="str">
        <f>IFERROR(IF($A47&lt;&gt;"",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47" s="103"/>
      <c r="AS47" s="202" t="str">
        <f>IF($A47&lt;&gt;"",
IF(Assets!H45&lt;&gt;"",Assets!H45,"Please complete the SSM column in the Asset sheet"),"")</f>
        <v/>
      </c>
      <c r="AT47" s="106"/>
      <c r="AU47" s="354" t="str">
        <f>IFERROR(IF(AND($A47&lt;&gt;"",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47" s="103"/>
      <c r="AW47" s="356" t="str" cm="1">
        <f t="array" ref="AW47">IFERROR(IF(AND($A47&lt;&gt;"",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47" s="93"/>
      <c r="AY47" s="94"/>
      <c r="AZ47" s="94"/>
      <c r="BA47" s="94"/>
      <c r="BB47" s="358"/>
      <c r="BC47" s="356" t="str" cm="1">
        <f t="array" ref="BC47">IFERROR(IF(AND($A47&lt;&gt;"",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47" s="93"/>
      <c r="BE47" s="94"/>
      <c r="BF47" s="94"/>
      <c r="BG47" s="123"/>
      <c r="BH47" s="585" t="str">
        <f>IF($A47&lt;&gt;"",
IF(Assets!I45&lt;&gt;"",Assets!I45,"Please complete the SCM column in the Asset sheet"),"")</f>
        <v/>
      </c>
      <c r="BI47" s="581"/>
      <c r="BJ47" s="387" t="str">
        <f>IFERROR(IF(AND($A47&lt;&gt;"",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47" s="330" t="str" cm="1">
        <f t="array" ref="BK47">IF($A47&lt;&gt;"",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47" s="204" t="str">
        <f>Assets!P45</f>
        <v/>
      </c>
      <c r="BM47" s="205" t="str">
        <f>Assets!Q45</f>
        <v/>
      </c>
      <c r="BN47" s="207"/>
      <c r="BO47" s="389" t="str">
        <f>IF($A47&lt;&gt;"",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47" s="116"/>
      <c r="BQ47" s="389" t="str">
        <f>IFERROR(IF($A47&lt;&gt;"",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47" s="116"/>
      <c r="BS47" s="389" t="str">
        <f>IF($A47&lt;&gt;"",
   IF(EInfo_ACM[[#This Row],[List of network interfaces]]&lt;&gt;"",
   _xlfn.TEXTJOIN(", "&amp;CHAR(10),TRUE, "E.Info.SCM-1.SCM.States", "E.Info.SCM-1.SCM.SecObjectives"), ""), "")</f>
        <v/>
      </c>
      <c r="BT47" s="116"/>
      <c r="BU47" s="391" t="str">
        <f>IFERROR(IF(AND($A47&lt;&gt;"",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47" s="93"/>
      <c r="BW47" s="94"/>
      <c r="BX47" s="94"/>
      <c r="BY47" s="94"/>
      <c r="BZ47" s="358"/>
      <c r="CA47" s="391" t="str">
        <f>IFERROR(IF(AND($A47&lt;&gt;"",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47" s="93"/>
      <c r="CC47" s="94"/>
      <c r="CD47" s="358"/>
      <c r="CE47" s="130" t="str">
        <f>IFERROR(IF(AND($A47&lt;&gt;"",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47" s="93"/>
      <c r="CG47" s="94"/>
      <c r="CH47" s="94"/>
      <c r="CI47" s="358"/>
      <c r="CJ47" s="401"/>
      <c r="CK47" s="394" t="str" cm="1">
        <f t="array" ref="CK47">IFERROR(IF($A47&lt;&gt;"",
     _xlfn.IFS(EInfo_ACM[[#This Row],[E.Info.DT.DLM-1]]="N/A", "N/A", AND(VALUE(RIGHT(EInfo_ACM[[#This Row],[E.Info.DT.DLM-1]]))=1, OR(EInfo_ACM[[#This Row],[Type]]="Privacy", AND(Assets!E45="Sensitive", EInfo_ACM[[#This Row],[Type]]="Security", Assets!D45="Parameter"))), "E.Info.DLM-1.DLM"), ""), "")</f>
        <v/>
      </c>
      <c r="CL47" s="397"/>
      <c r="CM47" s="120"/>
      <c r="CN47" s="142" t="str">
        <f>IFERROR(IF($A47&lt;&gt;"",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47" s="143"/>
      <c r="CP47" s="110" t="str">
        <f>IF($A47&lt;&gt;"",
IF(Assets!J45&lt;&gt;"",Assets!J45,"Please complete the CCK column in the Asset sheet"),"")</f>
        <v/>
      </c>
      <c r="CQ47" s="209"/>
      <c r="CR47" s="404" t="str">
        <f>IFERROR(IF($A47&lt;&gt;"",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47" s="86"/>
      <c r="CT47" s="210"/>
      <c r="CU47" s="404" t="str">
        <f>IFERROR(IF($A47&lt;&gt;"",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47" s="86"/>
      <c r="CW47" s="210"/>
      <c r="CX47" s="330" t="str">
        <f>IFERROR(IF($A47&lt;&gt;"",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47" s="86"/>
      <c r="CZ47" s="14"/>
    </row>
    <row r="48" spans="1:104" x14ac:dyDescent="0.3">
      <c r="A48" s="241" t="str">
        <f>IF(Assets!A46="", "", Assets!A46)</f>
        <v/>
      </c>
      <c r="B48" s="141" t="str">
        <f>IF(Assets!C46="", "", Assets!C46)</f>
        <v/>
      </c>
      <c r="C48" s="191"/>
      <c r="D48" s="330" t="str" cm="1">
        <f t="array" ref="D48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AND(Assets!E46="Sensitive", EInfo_ACM[[#This Row],[Type]]="Security", Assets!D46="Parameter"), "E.Info.DLM-1.SenSecParam"), ""), ""),
          IF(EInfo_ACM[[#This Row],[Type]]="Privacy", "E.Info.UNM-1.PersonalInformation", ""),
          "E.Info.GEC-1."&amp;EInfo_ACM[[#This Row],[Type]]&amp;"Asset"
),""), "")</f>
        <v/>
      </c>
      <c r="E48" s="89" t="str">
        <f>IF(Assets!B46="", "", Assets!B46)</f>
        <v/>
      </c>
      <c r="F48" s="186" t="str">
        <f>IF(EInfo_ACM[[#This Row],[Type]]&lt;&gt;"", _xlfn.TEXTJOIN(", "&amp;CHAR(10), TRUE, "E.Info.ACM-1."&amp;EInfo_ACM[[#This Row],[Type]]&amp;"Asset.Access"), "")</f>
        <v/>
      </c>
      <c r="G48" s="192" t="str">
        <f>IF(EInfo_ACM[[#This Row],[Assets]]&lt;&gt;"", IF(Assets!G46&lt;&gt;"", Assets!G46, "Please complete the Mapping_Asset_Entities tab"), "")</f>
        <v/>
      </c>
      <c r="H48" s="330" t="str" cm="1">
        <f t="array" ref="H48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48" s="52"/>
      <c r="J48" s="120"/>
      <c r="K48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48" s="87"/>
      <c r="M48" s="210"/>
      <c r="N48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48" s="87"/>
      <c r="P48" s="342"/>
      <c r="Q48" s="115"/>
      <c r="R48" s="171"/>
      <c r="S48" s="111"/>
      <c r="T48" s="112"/>
      <c r="U48" s="113"/>
      <c r="V48" s="113"/>
      <c r="W48" s="344" t="str" cm="1">
        <f t="array" ref="W48">IFERROR(IF($Y48&lt;&gt;"",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TRUE)&amp;".ACM."&amp;_xlfn.TEXTSPLIT(Assets!N46, ", "&amp;CHAR(10))&amp;"Interface"), "N/A"), ""), "N/A")</f>
        <v/>
      </c>
      <c r="X48" s="200" t="str">
        <f>IF(EInfo_ACM[[#This Row],[Assets]]&lt;&gt;"", IF(Assets!F46&lt;&gt;"", Assets!F46, "Please complete the Mapping_Asset_Interfaces tab"), "")</f>
        <v/>
      </c>
      <c r="Y48" s="91" t="str">
        <f>Assets!N46</f>
        <v/>
      </c>
      <c r="Z48" s="347"/>
      <c r="AA48" s="349" t="str" cm="1">
        <f t="array" ref="AA48">IFERROR(IF($Y48&lt;&gt;"",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48" s="201"/>
      <c r="AC48" s="105"/>
      <c r="AD48" s="106"/>
      <c r="AE48" s="106"/>
      <c r="AF48" s="354" t="str">
        <f>IFERROR(IF($A48&lt;&gt;"",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48" s="352"/>
      <c r="AH48" s="133" t="str">
        <f>IFERROR(IF($A48&lt;&gt;"",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48" s="352"/>
      <c r="AJ48" s="105"/>
      <c r="AK48" s="354" t="str">
        <f>IFERROR(IF($A48&lt;&gt;"",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48" s="352"/>
      <c r="AM48" s="114"/>
      <c r="AN48" s="107"/>
      <c r="AO48" s="354" t="str">
        <f>IFERROR(IF($A48&lt;&gt;"",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48" s="86"/>
      <c r="AQ48" s="349" t="str">
        <f>IFERROR(IF($A48&lt;&gt;"",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48" s="103"/>
      <c r="AS48" s="202" t="str">
        <f>IF($A48&lt;&gt;"",
IF(Assets!H46&lt;&gt;"",Assets!H46,"Please complete the SSM column in the Asset sheet"),"")</f>
        <v/>
      </c>
      <c r="AT48" s="106"/>
      <c r="AU48" s="354" t="str">
        <f>IFERROR(IF(AND($A48&lt;&gt;"",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48" s="103"/>
      <c r="AW48" s="356" t="str" cm="1">
        <f t="array" ref="AW48">IFERROR(IF(AND($A48&lt;&gt;"",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48" s="93"/>
      <c r="AY48" s="94"/>
      <c r="AZ48" s="94"/>
      <c r="BA48" s="94"/>
      <c r="BB48" s="358"/>
      <c r="BC48" s="356" t="str" cm="1">
        <f t="array" ref="BC48">IFERROR(IF(AND($A48&lt;&gt;"",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48" s="93"/>
      <c r="BE48" s="94"/>
      <c r="BF48" s="94"/>
      <c r="BG48" s="123"/>
      <c r="BH48" s="585" t="str">
        <f>IF($A48&lt;&gt;"",
IF(Assets!I46&lt;&gt;"",Assets!I46,"Please complete the SCM column in the Asset sheet"),"")</f>
        <v/>
      </c>
      <c r="BI48" s="581"/>
      <c r="BJ48" s="387" t="str">
        <f>IFERROR(IF(AND($A48&lt;&gt;"",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48" s="330" t="str" cm="1">
        <f t="array" ref="BK48">IF($A48&lt;&gt;"",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48" s="204" t="str">
        <f>Assets!P46</f>
        <v/>
      </c>
      <c r="BM48" s="205" t="str">
        <f>Assets!Q46</f>
        <v/>
      </c>
      <c r="BN48" s="207"/>
      <c r="BO48" s="389" t="str">
        <f>IF($A48&lt;&gt;"",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48" s="116"/>
      <c r="BQ48" s="389" t="str">
        <f>IFERROR(IF($A48&lt;&gt;"",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48" s="116"/>
      <c r="BS48" s="389" t="str">
        <f>IF($A48&lt;&gt;"",
   IF(EInfo_ACM[[#This Row],[List of network interfaces]]&lt;&gt;"",
   _xlfn.TEXTJOIN(", "&amp;CHAR(10),TRUE, "E.Info.SCM-1.SCM.States", "E.Info.SCM-1.SCM.SecObjectives"), ""), "")</f>
        <v/>
      </c>
      <c r="BT48" s="116"/>
      <c r="BU48" s="391" t="str">
        <f>IFERROR(IF(AND($A48&lt;&gt;"",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48" s="93"/>
      <c r="BW48" s="94"/>
      <c r="BX48" s="94"/>
      <c r="BY48" s="94"/>
      <c r="BZ48" s="358"/>
      <c r="CA48" s="391" t="str">
        <f>IFERROR(IF(AND($A48&lt;&gt;"",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48" s="93"/>
      <c r="CC48" s="94"/>
      <c r="CD48" s="358"/>
      <c r="CE48" s="130" t="str">
        <f>IFERROR(IF(AND($A48&lt;&gt;"",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48" s="93"/>
      <c r="CG48" s="94"/>
      <c r="CH48" s="94"/>
      <c r="CI48" s="358"/>
      <c r="CJ48" s="401"/>
      <c r="CK48" s="394" t="str" cm="1">
        <f t="array" ref="CK48">IFERROR(IF($A48&lt;&gt;"",
     _xlfn.IFS(EInfo_ACM[[#This Row],[E.Info.DT.DLM-1]]="N/A", "N/A", AND(VALUE(RIGHT(EInfo_ACM[[#This Row],[E.Info.DT.DLM-1]]))=1, OR(EInfo_ACM[[#This Row],[Type]]="Privacy", AND(Assets!E46="Sensitive", EInfo_ACM[[#This Row],[Type]]="Security", Assets!D46="Parameter"))), "E.Info.DLM-1.DLM"), ""), "")</f>
        <v/>
      </c>
      <c r="CL48" s="397"/>
      <c r="CM48" s="120"/>
      <c r="CN48" s="142" t="str">
        <f>IFERROR(IF($A48&lt;&gt;"",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48" s="143"/>
      <c r="CP48" s="110" t="str">
        <f>IF($A48&lt;&gt;"",
IF(Assets!J46&lt;&gt;"",Assets!J46,"Please complete the CCK column in the Asset sheet"),"")</f>
        <v/>
      </c>
      <c r="CQ48" s="209"/>
      <c r="CR48" s="404" t="str">
        <f>IFERROR(IF($A48&lt;&gt;"",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48" s="86"/>
      <c r="CT48" s="210"/>
      <c r="CU48" s="404" t="str">
        <f>IFERROR(IF($A48&lt;&gt;"",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48" s="86"/>
      <c r="CW48" s="210"/>
      <c r="CX48" s="330" t="str">
        <f>IFERROR(IF($A48&lt;&gt;"",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48" s="86"/>
      <c r="CZ48" s="14"/>
    </row>
    <row r="49" spans="1:104" x14ac:dyDescent="0.3">
      <c r="A49" s="241" t="str">
        <f>IF(Assets!A47="", "", Assets!A47)</f>
        <v/>
      </c>
      <c r="B49" s="141" t="str">
        <f>IF(Assets!C47="", "", Assets!C47)</f>
        <v/>
      </c>
      <c r="C49" s="191"/>
      <c r="D49" s="330" t="str" cm="1">
        <f t="array" ref="D49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AND(Assets!E47="Sensitive", EInfo_ACM[[#This Row],[Type]]="Security", Assets!D47="Parameter"), "E.Info.DLM-1.SenSecParam"), ""), ""),
          IF(EInfo_ACM[[#This Row],[Type]]="Privacy", "E.Info.UNM-1.PersonalInformation", ""),
          "E.Info.GEC-1."&amp;EInfo_ACM[[#This Row],[Type]]&amp;"Asset"
),""), "")</f>
        <v/>
      </c>
      <c r="E49" s="89" t="str">
        <f>IF(Assets!B47="", "", Assets!B47)</f>
        <v/>
      </c>
      <c r="F49" s="186" t="str">
        <f>IF(EInfo_ACM[[#This Row],[Type]]&lt;&gt;"", _xlfn.TEXTJOIN(", "&amp;CHAR(10), TRUE, "E.Info.ACM-1."&amp;EInfo_ACM[[#This Row],[Type]]&amp;"Asset.Access"), "")</f>
        <v/>
      </c>
      <c r="G49" s="192" t="str">
        <f>IF(EInfo_ACM[[#This Row],[Assets]]&lt;&gt;"", IF(Assets!G47&lt;&gt;"", Assets!G47, "Please complete the Mapping_Asset_Entities tab"), "")</f>
        <v/>
      </c>
      <c r="H49" s="330" t="str" cm="1">
        <f t="array" ref="H49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49" s="52"/>
      <c r="J49" s="120"/>
      <c r="K49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49" s="87"/>
      <c r="M49" s="210"/>
      <c r="N49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49" s="87"/>
      <c r="P49" s="342"/>
      <c r="Q49" s="115"/>
      <c r="R49" s="171"/>
      <c r="S49" s="111"/>
      <c r="T49" s="112"/>
      <c r="U49" s="113"/>
      <c r="V49" s="199"/>
      <c r="W49" s="344" t="str" cm="1">
        <f t="array" ref="W49">IFERROR(IF($Y49&lt;&gt;"",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TRUE)&amp;".ACM."&amp;_xlfn.TEXTSPLIT(Assets!N47, ", "&amp;CHAR(10))&amp;"Interface"), "N/A"), ""), "N/A")</f>
        <v/>
      </c>
      <c r="X49" s="200" t="str">
        <f>IF(EInfo_ACM[[#This Row],[Assets]]&lt;&gt;"", IF(Assets!F47&lt;&gt;"", Assets!F47, "Please complete the Mapping_Asset_Interfaces tab"), "")</f>
        <v/>
      </c>
      <c r="Y49" s="91" t="str">
        <f>Assets!N47</f>
        <v/>
      </c>
      <c r="Z49" s="347"/>
      <c r="AA49" s="349" t="str" cm="1">
        <f t="array" ref="AA49">IFERROR(IF($Y49&lt;&gt;"",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49" s="201"/>
      <c r="AC49" s="105"/>
      <c r="AD49" s="106"/>
      <c r="AE49" s="106"/>
      <c r="AF49" s="354" t="str">
        <f>IFERROR(IF($A49&lt;&gt;"",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49" s="352"/>
      <c r="AH49" s="133" t="str">
        <f>IFERROR(IF($A49&lt;&gt;"",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49" s="352"/>
      <c r="AJ49" s="105"/>
      <c r="AK49" s="354" t="str">
        <f>IFERROR(IF($A49&lt;&gt;"",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49" s="352"/>
      <c r="AM49" s="114"/>
      <c r="AN49" s="107"/>
      <c r="AO49" s="354" t="str">
        <f>IFERROR(IF($A49&lt;&gt;"",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49" s="86"/>
      <c r="AQ49" s="349" t="str">
        <f>IFERROR(IF($A49&lt;&gt;"",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49" s="103"/>
      <c r="AS49" s="202" t="str">
        <f>IF($A49&lt;&gt;"",
IF(Assets!H47&lt;&gt;"",Assets!H47,"Please complete the SSM column in the Asset sheet"),"")</f>
        <v/>
      </c>
      <c r="AT49" s="106"/>
      <c r="AU49" s="354" t="str">
        <f>IFERROR(IF(AND($A49&lt;&gt;"",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49" s="103"/>
      <c r="AW49" s="356" t="str" cm="1">
        <f t="array" ref="AW49">IFERROR(IF(AND($A49&lt;&gt;"",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49" s="93"/>
      <c r="AY49" s="94"/>
      <c r="AZ49" s="94"/>
      <c r="BA49" s="94"/>
      <c r="BB49" s="358"/>
      <c r="BC49" s="356" t="str" cm="1">
        <f t="array" ref="BC49">IFERROR(IF(AND($A49&lt;&gt;"",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49" s="93"/>
      <c r="BE49" s="94"/>
      <c r="BF49" s="94"/>
      <c r="BG49" s="123"/>
      <c r="BH49" s="585" t="str">
        <f>IF($A49&lt;&gt;"",
IF(Assets!I47&lt;&gt;"",Assets!I47,"Please complete the SCM column in the Asset sheet"),"")</f>
        <v/>
      </c>
      <c r="BI49" s="581"/>
      <c r="BJ49" s="387" t="str">
        <f>IFERROR(IF(AND($A49&lt;&gt;"",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49" s="330" t="str" cm="1">
        <f t="array" ref="BK49">IF($A49&lt;&gt;"",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49" s="204" t="str">
        <f>Assets!P47</f>
        <v/>
      </c>
      <c r="BM49" s="205" t="str">
        <f>Assets!Q47</f>
        <v/>
      </c>
      <c r="BN49" s="207"/>
      <c r="BO49" s="389" t="str">
        <f>IF($A49&lt;&gt;"",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49" s="116"/>
      <c r="BQ49" s="389" t="str">
        <f>IFERROR(IF($A49&lt;&gt;"",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49" s="116"/>
      <c r="BS49" s="389" t="str">
        <f>IF($A49&lt;&gt;"",
   IF(EInfo_ACM[[#This Row],[List of network interfaces]]&lt;&gt;"",
   _xlfn.TEXTJOIN(", "&amp;CHAR(10),TRUE, "E.Info.SCM-1.SCM.States", "E.Info.SCM-1.SCM.SecObjectives"), ""), "")</f>
        <v/>
      </c>
      <c r="BT49" s="116"/>
      <c r="BU49" s="391" t="str">
        <f>IFERROR(IF(AND($A49&lt;&gt;"",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49" s="93"/>
      <c r="BW49" s="94"/>
      <c r="BX49" s="94"/>
      <c r="BY49" s="94"/>
      <c r="BZ49" s="358"/>
      <c r="CA49" s="391" t="str">
        <f>IFERROR(IF(AND($A49&lt;&gt;"",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49" s="93"/>
      <c r="CC49" s="94"/>
      <c r="CD49" s="358"/>
      <c r="CE49" s="130" t="str">
        <f>IFERROR(IF(AND($A49&lt;&gt;"",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49" s="93"/>
      <c r="CG49" s="94"/>
      <c r="CH49" s="94"/>
      <c r="CI49" s="358"/>
      <c r="CJ49" s="400"/>
      <c r="CK49" s="394" t="str" cm="1">
        <f t="array" ref="CK49">IFERROR(IF($A49&lt;&gt;"",
     _xlfn.IFS(EInfo_ACM[[#This Row],[E.Info.DT.DLM-1]]="N/A", "N/A", AND(VALUE(RIGHT(EInfo_ACM[[#This Row],[E.Info.DT.DLM-1]]))=1, OR(EInfo_ACM[[#This Row],[Type]]="Privacy", AND(Assets!E47="Sensitive", EInfo_ACM[[#This Row],[Type]]="Security", Assets!D47="Parameter"))), "E.Info.DLM-1.DLM"), ""), "")</f>
        <v/>
      </c>
      <c r="CL49" s="397"/>
      <c r="CM49" s="403"/>
      <c r="CN49" s="142" t="str">
        <f>IFERROR(IF($A49&lt;&gt;"",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49" s="143"/>
      <c r="CP49" s="110" t="str">
        <f>IF($A49&lt;&gt;"",
IF(Assets!J47&lt;&gt;"",Assets!J47,"Please complete the CCK column in the Asset sheet"),"")</f>
        <v/>
      </c>
      <c r="CQ49" s="209"/>
      <c r="CR49" s="404" t="str">
        <f>IFERROR(IF($A49&lt;&gt;"",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49" s="86"/>
      <c r="CT49" s="210"/>
      <c r="CU49" s="404" t="str">
        <f>IFERROR(IF($A49&lt;&gt;"",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49" s="86"/>
      <c r="CW49" s="210"/>
      <c r="CX49" s="330" t="str">
        <f>IFERROR(IF($A49&lt;&gt;"",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49" s="86"/>
      <c r="CZ49" s="14"/>
    </row>
    <row r="50" spans="1:104" x14ac:dyDescent="0.3">
      <c r="A50" s="241" t="str">
        <f>IF(Assets!A48="", "", Assets!A48)</f>
        <v/>
      </c>
      <c r="B50" s="141" t="str">
        <f>IF(Assets!C48="", "", Assets!C48)</f>
        <v/>
      </c>
      <c r="C50" s="191"/>
      <c r="D50" s="330" t="str" cm="1">
        <f t="array" ref="D50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AND(Assets!E48="Sensitive", EInfo_ACM[[#This Row],[Type]]="Security", Assets!D48="Parameter"), "E.Info.DLM-1.SenSecParam"), ""), ""),
          IF(EInfo_ACM[[#This Row],[Type]]="Privacy", "E.Info.UNM-1.PersonalInformation", ""),
          "E.Info.GEC-1."&amp;EInfo_ACM[[#This Row],[Type]]&amp;"Asset"
),""), "")</f>
        <v/>
      </c>
      <c r="E50" s="89" t="str">
        <f>IF(Assets!B48="", "", Assets!B48)</f>
        <v/>
      </c>
      <c r="F50" s="186" t="str">
        <f>IF(EInfo_ACM[[#This Row],[Type]]&lt;&gt;"", _xlfn.TEXTJOIN(", "&amp;CHAR(10), TRUE, "E.Info.ACM-1."&amp;EInfo_ACM[[#This Row],[Type]]&amp;"Asset.Access"), "")</f>
        <v/>
      </c>
      <c r="G50" s="192" t="str">
        <f>IF(EInfo_ACM[[#This Row],[Assets]]&lt;&gt;"", IF(Assets!G48&lt;&gt;"", Assets!G48, "Please complete the Mapping_Asset_Entities tab"), "")</f>
        <v/>
      </c>
      <c r="H50" s="330" t="str" cm="1">
        <f t="array" ref="H50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50" s="52"/>
      <c r="J50" s="120"/>
      <c r="K50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50" s="87"/>
      <c r="M50" s="210"/>
      <c r="N50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50" s="87"/>
      <c r="P50" s="342"/>
      <c r="Q50" s="115"/>
      <c r="R50" s="171"/>
      <c r="S50" s="111"/>
      <c r="T50" s="112"/>
      <c r="U50" s="113"/>
      <c r="V50" s="113"/>
      <c r="W50" s="344" t="str" cm="1">
        <f t="array" ref="W50">IFERROR(IF($Y50&lt;&gt;"",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TRUE)&amp;".ACM."&amp;_xlfn.TEXTSPLIT(Assets!N48, ", "&amp;CHAR(10))&amp;"Interface"), "N/A"), ""), "N/A")</f>
        <v/>
      </c>
      <c r="X50" s="200" t="str">
        <f>IF(EInfo_ACM[[#This Row],[Assets]]&lt;&gt;"", IF(Assets!F48&lt;&gt;"", Assets!F48, "Please complete the Mapping_Asset_Interfaces tab"), "")</f>
        <v/>
      </c>
      <c r="Y50" s="91" t="str">
        <f>Assets!N48</f>
        <v/>
      </c>
      <c r="Z50" s="347"/>
      <c r="AA50" s="349" t="str" cm="1">
        <f t="array" ref="AA50">IFERROR(IF($Y50&lt;&gt;"",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50" s="201"/>
      <c r="AC50" s="105"/>
      <c r="AD50" s="106"/>
      <c r="AE50" s="106"/>
      <c r="AF50" s="354" t="str">
        <f>IFERROR(IF($A50&lt;&gt;"",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50" s="352"/>
      <c r="AH50" s="133" t="str">
        <f>IFERROR(IF($A50&lt;&gt;"",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50" s="352"/>
      <c r="AJ50" s="105"/>
      <c r="AK50" s="354" t="str">
        <f>IFERROR(IF($A50&lt;&gt;"",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50" s="352"/>
      <c r="AM50" s="114"/>
      <c r="AN50" s="107"/>
      <c r="AO50" s="354" t="str">
        <f>IFERROR(IF($A50&lt;&gt;"",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50" s="86"/>
      <c r="AQ50" s="349" t="str">
        <f>IFERROR(IF($A50&lt;&gt;"",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50" s="103"/>
      <c r="AS50" s="202" t="str">
        <f>IF($A50&lt;&gt;"",
IF(Assets!H48&lt;&gt;"",Assets!H48,"Please complete the SSM column in the Asset sheet"),"")</f>
        <v/>
      </c>
      <c r="AT50" s="106"/>
      <c r="AU50" s="354" t="str">
        <f>IFERROR(IF(AND($A50&lt;&gt;"",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50" s="103"/>
      <c r="AW50" s="356" t="str" cm="1">
        <f t="array" ref="AW50">IFERROR(IF(AND($A50&lt;&gt;"",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50" s="93"/>
      <c r="AY50" s="94"/>
      <c r="AZ50" s="94"/>
      <c r="BA50" s="94"/>
      <c r="BB50" s="358"/>
      <c r="BC50" s="356" t="str" cm="1">
        <f t="array" ref="BC50">IFERROR(IF(AND($A50&lt;&gt;"",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50" s="93"/>
      <c r="BE50" s="94"/>
      <c r="BF50" s="94"/>
      <c r="BG50" s="123"/>
      <c r="BH50" s="585" t="str">
        <f>IF($A50&lt;&gt;"",
IF(Assets!I48&lt;&gt;"",Assets!I48,"Please complete the SCM column in the Asset sheet"),"")</f>
        <v/>
      </c>
      <c r="BI50" s="581"/>
      <c r="BJ50" s="387" t="str">
        <f>IFERROR(IF(AND($A50&lt;&gt;"",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50" s="330" t="str" cm="1">
        <f t="array" ref="BK50">IF($A50&lt;&gt;"",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50" s="204" t="str">
        <f>Assets!P48</f>
        <v/>
      </c>
      <c r="BM50" s="205" t="str">
        <f>Assets!Q48</f>
        <v/>
      </c>
      <c r="BN50" s="207"/>
      <c r="BO50" s="389" t="str">
        <f>IF($A50&lt;&gt;"",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50" s="116"/>
      <c r="BQ50" s="389" t="str">
        <f>IFERROR(IF($A50&lt;&gt;"",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50" s="116"/>
      <c r="BS50" s="389" t="str">
        <f>IF($A50&lt;&gt;"",
   IF(EInfo_ACM[[#This Row],[List of network interfaces]]&lt;&gt;"",
   _xlfn.TEXTJOIN(", "&amp;CHAR(10),TRUE, "E.Info.SCM-1.SCM.States", "E.Info.SCM-1.SCM.SecObjectives"), ""), "")</f>
        <v/>
      </c>
      <c r="BT50" s="116"/>
      <c r="BU50" s="391" t="str">
        <f>IFERROR(IF(AND($A50&lt;&gt;"",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50" s="93"/>
      <c r="BW50" s="94"/>
      <c r="BX50" s="94"/>
      <c r="BY50" s="94"/>
      <c r="BZ50" s="358"/>
      <c r="CA50" s="391" t="str">
        <f>IFERROR(IF(AND($A50&lt;&gt;"",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50" s="93"/>
      <c r="CC50" s="94"/>
      <c r="CD50" s="358"/>
      <c r="CE50" s="130" t="str">
        <f>IFERROR(IF(AND($A50&lt;&gt;"",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50" s="93"/>
      <c r="CG50" s="94"/>
      <c r="CH50" s="94"/>
      <c r="CI50" s="358"/>
      <c r="CJ50" s="401"/>
      <c r="CK50" s="394" t="str" cm="1">
        <f t="array" ref="CK50">IFERROR(IF($A50&lt;&gt;"",
     _xlfn.IFS(EInfo_ACM[[#This Row],[E.Info.DT.DLM-1]]="N/A", "N/A", AND(VALUE(RIGHT(EInfo_ACM[[#This Row],[E.Info.DT.DLM-1]]))=1, OR(EInfo_ACM[[#This Row],[Type]]="Privacy", AND(Assets!E48="Sensitive", EInfo_ACM[[#This Row],[Type]]="Security", Assets!D48="Parameter"))), "E.Info.DLM-1.DLM"), ""), "")</f>
        <v/>
      </c>
      <c r="CL50" s="397"/>
      <c r="CM50" s="120"/>
      <c r="CN50" s="142" t="str">
        <f>IFERROR(IF($A50&lt;&gt;"",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50" s="143"/>
      <c r="CP50" s="110" t="str">
        <f>IF($A50&lt;&gt;"",
IF(Assets!J48&lt;&gt;"",Assets!J48,"Please complete the CCK column in the Asset sheet"),"")</f>
        <v/>
      </c>
      <c r="CQ50" s="209"/>
      <c r="CR50" s="404" t="str">
        <f>IFERROR(IF($A50&lt;&gt;"",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50" s="86"/>
      <c r="CT50" s="210"/>
      <c r="CU50" s="404" t="str">
        <f>IFERROR(IF($A50&lt;&gt;"",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50" s="86"/>
      <c r="CW50" s="210"/>
      <c r="CX50" s="330" t="str">
        <f>IFERROR(IF($A50&lt;&gt;"",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50" s="86"/>
      <c r="CZ50" s="14"/>
    </row>
    <row r="51" spans="1:104" x14ac:dyDescent="0.3">
      <c r="A51" s="242" t="str">
        <f>IF(Assets!A49="", "", Assets!A49)</f>
        <v/>
      </c>
      <c r="B51" s="243" t="str">
        <f>IF(Assets!C49="", "", Assets!C49)</f>
        <v/>
      </c>
      <c r="C51" s="244"/>
      <c r="D51" s="330" t="str" cm="1">
        <f t="array" ref="D51">IFERROR(IF(EInfo_ACM[[#This Row],[Type]]&lt;&gt;"",
    _xlfn.TEXTJOIN(", "&amp;CHAR(10), TRUE,
IF(EInfo_ACM[[#This Row],[E.Info.DT.ACM-1]]="N/A", "",
              IF(VALUE(RIGHT(EInfo_ACM[[#This Row],[E.Info.DT.ACM-1]]))=4,
                        _xlfn.TEXTJOIN(", "&amp;CHAR(10), TRUE, "E.Info.ACM-1."&amp;EInfo_ACM[[#This Row],[Type]]&amp;"Asset", "E.Info.ACM-2."&amp;EInfo_ACM[[#This Row],[Type]]&amp;"Asset",
                        IFERROR(IF(AND(VALUE(RIGHT(EInfo_ACM[[#This Row],[E.Info.DT.ACM-3]]))=2, EInfo_ACM[[#This Row],[Type]]="Privacy"), "E.Info.ACM-3.PrivacyAsset", ""), ""),
                        IFERROR(IF(AND(VALUE(RIGHT(EInfo_ACM[[#This Row],[E.Info.DT.ACM-4]]))=3, EInfo_ACM[[#This Row],[Type]]="Privacy"), "E.Info.ACM-4.PrivacyAsset", ""), ""),
                        IFERROR(IF(AND(VALUE(RIGHT(EInfo_ACM[[#This Row],[E.Info.DT.ACM-5]]))=2, EInfo_ACM[[#This Row],[Accessible by children?]]="Yes", OR(EInfo_ACM[[#This Row],[Type]]="Security", EInfo_ACM[[#This Row],[Type]]="Privacy")), "E.Info.ACM-5."&amp;EInfo_ACM[[#This Row],[Type]]&amp;"Asset", ""), ""),
                        IFERROR(IF(AND(VALUE(RIGHT(EInfo_ACM[[#This Row],[E.Info.DT.ACM-6]]))=2, EInfo_ACM[[#This Row],[Accessible by other entities than children or their guardian?]]="Yes", EInfo_ACM[[#This Row],[Type]]="Privacy"), "E.Info.ACM-6.PrivacyAsset", ""), ""),
                        ),  "E.Info.ACM-1."&amp;EInfo_ACM[[#This Row],[Type]]&amp;"Asset")),
IF(LEFT(EInfo_ACM[[#This Row],[Asset permanently stored?]])="Y", "E.Info.SSM-1."&amp;EInfo_ACM[[#This Row],[Type]]&amp;"Asset", ""),
IF(LEFT(EInfo_ACM[[#This Row],[Asset communicated via network interface?]])="Y", _xlfn.TEXTJOIN(", "&amp;CHAR(10), TRUE, "E.Info.SCM-1."&amp;EInfo_ACM[[#This Row],[Type]]&amp;"Asset",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Row],[Type]]&amp;"Asset", ""), ""),
 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Row],[Type]]&amp;"Asset", ""), ""),
         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Row],[Type]]&amp;"Asset", ""), "")
     ), ""),
          IFERROR(IF(VALUE(RIGHT(EInfo_ACM[[#This Row],[E.Info.DT.DLM-1]]))=1, _xlfn.IFS(EInfo_ACM[[#This Row],[Type]]="Privacy", "E.Info.DLM-1.PersonalData", AND(Assets!E49="Sensitive", EInfo_ACM[[#This Row],[Type]]="Security", Assets!D49="Parameter"), "E.Info.DLM-1.SenSecParam"), ""), ""),
          IF(EInfo_ACM[[#This Row],[Type]]="Privacy", "E.Info.UNM-1.PersonalInformation", ""),
          "E.Info.GEC-1."&amp;EInfo_ACM[[#This Row],[Type]]&amp;"Asset"
),""), "")</f>
        <v/>
      </c>
      <c r="E51" s="245" t="str">
        <f>IF(Assets!B49="", "", Assets!B49)</f>
        <v/>
      </c>
      <c r="F51" s="186" t="str">
        <f>IF(EInfo_ACM[[#This Row],[Type]]&lt;&gt;"", _xlfn.TEXTJOIN(", "&amp;CHAR(10), TRUE, "E.Info.ACM-1."&amp;EInfo_ACM[[#This Row],[Type]]&amp;"Asset.Access"), "")</f>
        <v/>
      </c>
      <c r="G51" s="246" t="str">
        <f>IF(EInfo_ACM[[#This Row],[Assets]]&lt;&gt;"", IF(Assets!G49&lt;&gt;"", Assets!G49, "Please complete the Mapping_Asset_Entities tab"), "")</f>
        <v/>
      </c>
      <c r="H51" s="330" t="str" cm="1">
        <f t="array" ref="H51">IFERROR(IF(AND(EInfo_ACM[[#This Row],[Type]]&lt;&gt;"", EInfo_ACM[[#This Row],[E.Info.DT.ACM-1]]&lt;&gt;""),
_xlfn.TEXTJOIN(", "&amp;CHAR(10), TRUE,
  IF(VALUE(RIGHT(EInfo_ACM[[#This Row],[E.Info.DT.ACM-1]]))&lt;&gt;4,
       "E.Info.ACM-1."&amp;EInfo_ACM[[#This Row],[Type]]&amp;"Asset."&amp;CHOOSE(VALUE(RIGHT(EInfo_ACM[[#This Row],[E.Info.DT.ACM-1]])), "PublicAccess", "Environment", "Legal"),
       "E.Info."&amp;{"ACM-1","ACM-2"}&amp;"."&amp;EInfo_ACM[[#This Row],[Type]]&amp;"Asset.ACM"),
  IF(VALUE(RIGHT(EInfo_ACM[[#This Row],[E.Info.DT.ACM-1]]))=4, _xlfn.TEXTJOIN(", "&amp;CHAR(10), TRUE,
       IFERROR("E.Info.AUM-1-"&amp;_xlfn.TEXTSPLIT(MATCH(_xlfn.TEXTSPLIT(EInfo_ACM[[#This Row],[Types of interfaces]],, ", "&amp;CHAR(10)), {"Network","User","Machine"}, 0),, ", ", TRUE)&amp;".ACM", ""),
       IFERROR(IF(AND(VALUE(RIGHT(EInfo_ACM[[#This Row],[E.Info.DT.ACM-3]]))=2, EInfo_ACM[[#This Row],[Type]]="Privacy"), "E.Info.ACM-3.ACM", ""), ""),
       IFERROR(IF(AND(VALUE(RIGHT(EInfo_ACM[[#This Row],[E.Info.DT.ACM-4]]))&gt;=2, EInfo_ACM[[#This Row],[Type]]="Privacy"), "E.Info.ACM-4.ACM", ""), ""),
       IFERROR(IF(AND(VALUE(RIGHT(EInfo_ACM[[#This Row],[E.Info.DT.ACM-5]]))=2, EInfo_ACM[[#This Row],[Accessible by children?]]="Yes", OR(EInfo_ACM[[#This Row],[Type]]="Security", EInfo_ACM[[#This Row],[Type]]="Privacy")), "E.Info.ACM-5.ACM", ""), ""),
       IFERROR(IF(AND(VALUE(RIGHT(EInfo_ACM[[#This Row],[E.Info.DT.ACM-6]]))=2, EInfo_ACM[[#This Row],[Accessible by other entities than children or their guardian?]]="Yes", EInfo_ACM[[#This Row],[Type]]="Privacy"), "E.Info.ACM-6.ACM", ""), "")
), ""),
       IFERROR(IF(AND(LEFT(EInfo_ACM[[#This Row],[Asset permanently stored?]])="Y", VALUE(RIGHT(EInfo_ACM[[#This Row],[E.Info.DT.SSM-1]]))=1), "E.Info.SSM-1."&amp;EInfo_ACM[[#This Row],[Type]]&amp;"Asset.Environment", ""), ""),
), ""), "N/A")</f>
        <v/>
      </c>
      <c r="I51" s="339"/>
      <c r="J51" s="264"/>
      <c r="K51" s="341" t="str">
        <f>IF(AND(EInfo_ACM[[#This Row],[Type]]&lt;&gt;"", IFERROR(VALUE(RIGHT(EInfo_ACM[[#This Row],[E.Info.DT.ACM-1]]))=4, "")),
_xlfn.TEXTJOIN(", "&amp;CHAR(10), TRUE,
           IFERROR(IF(VALUE(RIGHT(EInfo_ACM[[#This Row],[E.Info.DT.ACM-3]]))=2, "E.Info.ACM-3.PrivacyAssetTrustedSources", ""), ""),
           IFERROR(IF(VALUE(RIGHT(EInfo_ACM[[#This Row],[E.Info.DT.ACM-3]]))=1, "N/A", ""), "")
), "")</f>
        <v/>
      </c>
      <c r="L51" s="146"/>
      <c r="M51" s="263"/>
      <c r="N51" s="341" t="str">
        <f>IF(AND(EInfo_ACM[[#This Row],[Type]]&lt;&gt;"", IFERROR(VALUE(RIGHT(EInfo_ACM[[#This Row],[E.Info.DT.ACM-1]]))=4, "")),
_xlfn.TEXTJOIN(", "&amp;CHAR(10), TRUE,
           IFERROR(IF(VALUE(RIGHT(EInfo_ACM[[#This Row],[E.Info.DT.ACM-4]]))=3, "E.Info.ACM-4.AuthorisedAccess", ""), ""),
           IFERROR(IF(VALUE(RIGHT(EInfo_ACM[[#This Row],[E.Info.DT.ACM-4]]))&lt;=2, "N/A", ""), "")
), "")</f>
        <v/>
      </c>
      <c r="O51" s="146"/>
      <c r="P51" s="342"/>
      <c r="Q51" s="253"/>
      <c r="R51" s="171"/>
      <c r="S51" s="247"/>
      <c r="T51" s="112"/>
      <c r="U51" s="113"/>
      <c r="V51" s="113"/>
      <c r="W51" s="345" t="str" cm="1">
        <f t="array" ref="W51">IFERROR(IF($Y51&lt;&gt;"",
  IF(VALUE(RIGHT(EInfo_ACM[[#This Row],[E.Info.DT.ACM-1]]))=4,
_xlfn.TEXTJOIN(", "&amp;CHAR(10), TRUE, "E.Info.AUM-1-"&amp;_xlfn.TEXTSPLIT(MATCH(_xlfn.TEXTSPLIT(EInfo_ACM[[#This Row],[Types of interfaces]],, ", "&amp;CHAR(10)), {"Network","User","Machine"}, 0),, ", ", TRUE)&amp;".ACM."&amp;_xlfn.TEXTSPLIT(Assets!N49, ", "&amp;CHAR(10))&amp;"Interface"), "N/A"), ""), "N/A")</f>
        <v/>
      </c>
      <c r="X51" s="248" t="str">
        <f>IF(EInfo_ACM[[#This Row],[Assets]]&lt;&gt;"", IF(Assets!F49&lt;&gt;"", Assets!F49, "Please complete the Mapping_Asset_Interfaces tab"), "")</f>
        <v/>
      </c>
      <c r="Y51" s="249" t="str">
        <f>Assets!N49</f>
        <v/>
      </c>
      <c r="Z51" s="348"/>
      <c r="AA51" s="350" t="str" cm="1">
        <f t="array" ref="AA51">IFERROR(IF($Y51&lt;&gt;"",
  IF(VALUE(RIGHT(EInfo_ACM[[#This Row],[E.Info.DT.ACM-1]]))=4,
_xlfn.TEXTJOIN(", "&amp;CHAR(10), TRUE, "E.Info.AUM-1-"&amp;_xlfn.TEXTSPLIT(MATCH(_xlfn.TEXTSPLIT(EInfo_ACM[[#This Row],[Types of interfaces]],, ", "&amp;CHAR(10)), {"Network","User","Machine"}, 0)&amp;".ManagedAccess"&amp;EInfo_ACM[[#This Row],[Type]]&amp;"Asset",, ", ", TRUE),
IFERROR("E.Info.ACM-1-1.ACM."&amp;CHOOSE(VALUE(RIGHT(EInfo_ACM[[#This Row],[E.Info.DT.AUM-1-1]])), "IntendedFunctionality","AuthorizedEntity","AuthenticationMechanism"), ""),
IFERROR("E.Info.ACM-1-2.ACM."&amp;CHOOSE(VALUE(RIGHT(EInfo_ACM[[#This Row],[E.Info.DT.AUM-1-2]])), "IntendedEnvironment","ReadOnlyFunctionality","ReadOnlyLegal","AuthenticationMechanism"), ""),
IFERROR("E.Info.ACM-1-3.ACM."&amp;CHOOSE(VALUE(RIGHT(EInfo_ACM[[#This Row],[E.Info.DT.AUM-1-3]])), "AuthenticationMechanism"), ""),
IFERROR(IF(VALUE(RIGHT(EInfo_ACM[[#This Row],[E.Info.DT.AUM-2]]))=1, "E.Info.AUM-2.AuthenticationMechanism", ""), ""),
IFERROR(IF(VALUE(RIGHT(EInfo_ACM[[#This Row],[E.Info.DT.AUM-2-1]]))=1, "E.Info.AUM-2-1.AuthenticationMechanism", ""), ""),
IFERROR(IF(VALUE(RIGHT(EInfo_ACM[[#This Row],[E.Info.DT.AUM-2-2]]))=1, "E.Info.AUM-2-2.AuthenticationMechanism", ""), ""),
), "N/A"), ""), "N/A")</f>
        <v/>
      </c>
      <c r="AB51" s="250"/>
      <c r="AC51" s="112"/>
      <c r="AD51" s="113"/>
      <c r="AE51" s="113"/>
      <c r="AF51" s="355" t="str">
        <f>IFERROR(IF($A51&lt;&gt;"",
  IF(AND(VALUE(RIGHT(EInfo_ACM[[#This Row],[E.Info.DT.ACM-1]]))=4, OR(EInfo_ACM[[#This Row],[E.Info.DT.AUM-1-1]]&lt;&gt;"N/A", EInfo_ACM[[#This Row],[E.Info.DT.AUM-1-2]]&lt;&gt;"N/A", EInfo_ACM[[#This Row],[E.Info.DT.AUM-1-3]]&lt;&gt;"N/A")),
_xlfn.TEXTJOIN(", "&amp;CHAR(10), TRUE,
IFERROR(IF(VALUE(RIGHT(EInfo_ACM[[#This Row],[E.Info.DT.AUM-2]]))=1, IF(OR(EInfo_ACM[[#This Row],[Type]]="Network", EInfo_ACM[[#This Row],[Type]]="Security"),"E.Info.AUM-2.AuthenticationMechanism.AuthFactor", ""), ""), ""),
IFERROR(IF(VALUE(RIGHT(EInfo_ACM[[#This Row],[E.Info.DT.AUM-2-1]]))=1, IF(EInfo_ACM[[#This Row],[Type]]="Network", "", "E.Info.AUM-2-1.AuthenticationMechanism.AuthFactor"), ""), ""),
IFERROR(IF(VALUE(RIGHT(EInfo_ACM[[#This Row],[E.Info.DT.AUM-2-2]]))=1, IF(OR(EInfo_ACM[[#This Row],[Type]]="Network", EInfo_ACM[[#This Row],[Type]]="Privacy"), "", "E.Info.AUM-2-2.AuthenticationMechanism.AuthFactor"), ""), ""),
IFERROR(IF(VALUE(RIGHT(EInfo_ACM[[#This Row],[E.Info.DT.AUM-2-2]]))=2, IF(EInfo_ACM[[#This Row],[Type]]="Privacy", "E.Info.AUM-2-2.AuthenticationMechanism.AuthFactor", ""), ""), ""),
), "N/A"), ""), "N/A")</f>
        <v/>
      </c>
      <c r="AG51" s="353"/>
      <c r="AH51" s="57" t="str">
        <f>IFERROR(IF($A51&lt;&gt;"",
  IF(VALUE(RIGHT(EInfo_ACM[[#This Row],[E.Info.DT.ACM-1]]))=4,
_xlfn.TEXTJOIN(", "&amp;CHAR(10), TRUE, "E.Info.AUM-3.AUM",
"E.Info.AUM-3.AUM.AuthVal", "E.Info.AUM-3.AUM.AuthEnv",
"E.Info.AUM.AUM-4",
IF(AND(EInfo_ACM[[#This Row],[E.Info.DT.AUM-5-1]]&lt;&gt;"", EInfo_ACM[[#This Row],[E.Info.DT.AUM-5-1]]&lt;&gt;"N/A"),"E.Info.AUM.AUM-5-1", ""),
IF(AND(EInfo_ACM[[#This Row],[E.Info.DT.AUM-5-2]]&lt;&gt;"", EInfo_ACM[[#This Row],[E.Info.DT.AUM-5-2]]&lt;&gt;"N/A"),"E.Info.AUM.AUM-5-2", ""),
"E.Info.AUM-6.AUM"
), "N/A"), ""), "N/A")</f>
        <v/>
      </c>
      <c r="AI51" s="353"/>
      <c r="AJ51" s="112"/>
      <c r="AK51" s="355" t="str">
        <f>IFERROR(IF($A51&lt;&gt;"",
  IF(AND(VALUE(RIGHT(EInfo_ACM[[#This Row],[E.Info.DT.ACM-1]]))=4, OR(EInfo_ACM[[#This Row],[E.Info.DT.AUM-1-1]]&lt;&gt;"N/A", EInfo_ACM[[#This Row],[E.Info.DT.AUM-1-2]]&lt;&gt;"N/A", EInfo_ACM[[#This Row],[E.Info.DT.AUM-1-3]]&lt;&gt;"N/A"), EInfo_ACM[[#This Row],[E.Info.DT.AUM-4]]&lt;&gt;"N/A"),
_xlfn.TEXTJOIN(", "&amp;CHAR(10), TRUE,
IFERROR(IF(VALUE(RIGHT(EInfo_ACM[[#This Row],[E.Info.DT.AUM-4]]))=1, "E.Info.AUM-4.AUM.ConfSecGoals", ""), ""),
"E.Info.AUM-4.AUM.AuthChange"), "N/A"), ""), "N/A")</f>
        <v/>
      </c>
      <c r="AL51" s="353"/>
      <c r="AM51" s="251"/>
      <c r="AN51" s="252"/>
      <c r="AO51" s="355" t="str">
        <f>IFERROR(IF($A51&lt;&gt;"",
  IF(VALUE(RIGHT(EInfo_ACM[[#This Row],[E.Info.DT.ACM-1]]))=4,
   IF(AND(EInfo_ACM[[#This Row],[E.Info.DT.AUM-5-1]]="N/A", EInfo_ACM[[#This Row],[E.Info.DT.AUM-5-2]]="N/A"),
      "N/A",
      _xlfn.TEXTJOIN(", "&amp;CHAR(10), TRUE,
       IF(AND(EInfo_ACM[[#This Row],[E.Info.DT.AUM-5-1]]&lt;&gt;"N/A", EInfo_ACM[[#This Row],[E.Info.DT.AUM-5-1]]&lt;&gt;""), "E.Info.AUM-5.1.AUM.PwdProperty", ""),
       IF(AND(EInfo_ACM[[#This Row],[E.Info.DT.AUM-5-2]]&lt;&gt;"N/A", EInfo_ACM[[#This Row],[E.Info.DT.AUM-5-2]]&lt;&gt;""), "E.Info.AUM-5.2.AUM.PwdProperty", ""))), "N/A"), ""), "N/A")</f>
        <v/>
      </c>
      <c r="AP51" s="86"/>
      <c r="AQ51" s="350" t="str">
        <f>IFERROR(IF($A51&lt;&gt;"",
  IF(AND(VALUE(RIGHT(EInfo_ACM[[#This Row],[E.Info.DT.ACM-1]]))=4, OR(EInfo_ACM[[#This Row],[E.Info.DT.AUM-1-1]]&lt;&gt;"N/A", EInfo_ACM[[#This Row],[E.Info.DT.AUM-1-2]]&lt;&gt;"N/A", EInfo_ACM[[#This Row],[E.Info.DT.AUM-1-3]]&lt;&gt;"N/A")),
"E.Info.AUM-6.AUM.BFProtection", "N/A"), ""), "N/A")</f>
        <v/>
      </c>
      <c r="AR51" s="255"/>
      <c r="AS51" s="254" t="str">
        <f>IF($A51&lt;&gt;"",
IF(Assets!H49&lt;&gt;"",Assets!H49,"Please complete the SSM column in the Asset sheet"),"")</f>
        <v/>
      </c>
      <c r="AT51" s="113"/>
      <c r="AU51" s="355" t="str">
        <f>IFERROR(IF(AND($A51&lt;&gt;"", EInfo_ACM[[#This Row],[Type]]&lt;&gt;""),
  IF(VALUE(RIGHT(EInfo_ACM[[#This Row],[E.Info.DT.SSM-1]]))=2,
_xlfn.TEXTJOIN(", "&amp;CHAR(10), TRUE, "E.Info.SSM-1."&amp;EInfo_ACM[[#This Row],[Type]]&amp;"Asset.SSM", "E.Info.SSM-2.SSM"), "N/A"), ""), "N/A")</f>
        <v/>
      </c>
      <c r="AV51" s="255"/>
      <c r="AW51" s="357" t="str" cm="1">
        <f t="array" ref="AW51">IFERROR(IF(AND($A51&lt;&gt;"", EInfo_ACM[[#This Row],[E.Info.DT.SSM-1]]&lt;&gt;"N/A"),
     IF(VALUE(RIGHT(EInfo_ACM[[#This Row],[E.Info.DT.SSM-1]]))=2,
     _xlfn.IFS(COUNTIF(EInfo_ACM[[#This Row],[Digital signature for integrity protection]:[Hardware Protection for integrity protection]], "Yes")=1,
                INDEX({"E.Info.SSM-2.SSM.DigitalSignature","E.Info.SSM-2.SSM.AccessControl","E.Info.SSM-2.SSM.OTProgrammable","E.Info.SSM-2.SSM.HardwareProtection"}, MATCH("Yes", EInfo_ACM[[#This Row],[Digital signature for integrity protection]:[Hardware Protection for integrity protection]], 0)),
         COUNTIF(EInfo_ACM[[#This Row],[Digital signature for integrity protection]:[Hardware Protection for integrity protection]], "No")=4, "E.Info.SSM-2.SSM.Generic",
COUNTIF(EInfo_ACM[[#This Row],[Digital signature for integrity protection]:[Hardware Protection for integrity protection]], "Yes")&gt;1, "E.Info.SSM-2.SSM.Generic"), "N/A"),
        IF(EInfo_ACM[[#This Row],[E.Info.DT.SSM-1]]="N/A", "N/A", "")), "N/A")</f>
        <v/>
      </c>
      <c r="AX51" s="101"/>
      <c r="AY51" s="102"/>
      <c r="AZ51" s="102"/>
      <c r="BA51" s="102"/>
      <c r="BB51" s="359"/>
      <c r="BC51" s="357" t="str" cm="1">
        <f t="array" ref="BC51">IFERROR(IF(AND($A51&lt;&gt;"", EInfo_ACM[[#This Row],[E.Info.DT.SSM-1]]&lt;&gt;"N/A"),
     IF(VALUE(RIGHT(EInfo_ACM[[#This Row],[E.Info.DT.SSM-1]]))=2,
     _xlfn.IFS(COUNTIF(EInfo_ACM[[#This Row],[Encryption for authenticity protection]:[Hardware Protection for authenticity protection]], "Yes")=1,
                INDEX({"E.Info.SSM-3.SSM.Encryption","E.Info.SSM-3.SSM.AccessControl","E.Info.SSM-3.SSM.HardwareProtection"}, MATCH("Yes", EInfo_ACM[[#This Row],[Encryption for authenticity protection]:[Hardware Protection for authenticity protection]], 0)),
         COUNTIF(EInfo_ACM[[#This Row],[Encryption for authenticity protection]:[Hardware Protection for authenticity protection]], "No")=3, "E.Info.SSM-3.SSM.Generic",
COUNTIF(EInfo_ACM[[#This Row],[Encryption for authenticity protection]:[Hardware Protection for authenticity protection]], "Yes")&gt;1, "E.Info.SSM-3.SSM.Generic"), "N/A"),
        IF(EInfo_ACM[[#This Row],[E.Info.DT.SSM-1]]="N/A", "N/A", "")), "N/A")</f>
        <v/>
      </c>
      <c r="BD51" s="101"/>
      <c r="BE51" s="102"/>
      <c r="BF51" s="102"/>
      <c r="BG51" s="124"/>
      <c r="BH51" s="586" t="str">
        <f>IF($A51&lt;&gt;"",
IF(Assets!I49&lt;&gt;"",Assets!I49,"Please complete the SCM column in the Asset sheet"),"")</f>
        <v/>
      </c>
      <c r="BI51" s="582"/>
      <c r="BJ51" s="388" t="str">
        <f>IFERROR(IF(AND($A51&lt;&gt;"", EInfo_ACM[[#This Row],[Type]]&lt;&gt;""),
  IF(VALUE(RIGHT(EInfo_ACM[[#This Row],[E.Info.DT.SSM-1]]))=2,
_xlfn.TEXTJOIN(", "&amp;CHAR(10), TRUE, "E.Info.SCM-1."&amp;EInfo_ACM[[#This Row],[Type]]&amp;"Asset.SCM",
   IF(AND(EInfo_ACM[[#This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"E.Info.SCM-2.SCM", ""),
   IF(EInfo_ACM[[#This Row],[SSM.Encryption, SSM.AccessControl, SSM.HardwareProtection, SSM.Generic]]&lt;&gt;"N/A", "E.Info.SCM-3.SCM", ""),
   IF(EInfo_ACM[[#This Row],[SCM.Capabilities, SCM.SeqNumb, SCM.TimeStamp, SCM.OneTimeEncKey, SCM.Generic, SCM.ImplDetail, SCM.Repudiation]]&lt;&gt;"N/A", "E.Info.SCM-4.SCM", "")
), "N/A"), ""), "N/A")</f>
        <v/>
      </c>
      <c r="BK51" s="331" t="str" cm="1">
        <f t="array" ref="BK51">IF($A51&lt;&gt;"",
   _xlfn.TEXTJOIN(", "&amp;CHAR(10),TRUE,
     IF(EInfo_ACM[[#This Row],[List of network interfaces]]&lt;&gt;"", "E.Info.SCM-1.NetworkInterface" &amp;", "&amp;CHAR(10)&amp; "E.Info.SCM-1.NetworkInterface."&amp;EInfo_ACM[[#This Row],[Type]]&amp;"Asset", ""),
     IF(AND(EInfo_ACM[[#This Row],[Type of network interfaces]]&lt;&gt;"", EInfo_ACM[[#This Row],[Type of network interfaces]]&lt;&gt;"N/A"),
     IF(EInfo_ACM[[#This Row],[Type of network interfaces]]&lt;&gt;"", _xlfn.TEXTJOIN(", "&amp;CHAR(10), TRUE, "E.Info.SCM-1.NetworkInterface."&amp;_xlfn.TEXTSPLIT(EInfo_ACM[[#This Row],[Type of network interfaces]], ", "&amp;CHAR(10), TRUE), "E.Info.SCM-1.NetworkInterface.Protocol", "E.Info.SCM-1.NetworkInterface.Protocol",
 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"E.Info.SCM-2.NetworkInterface" &amp;", "&amp;CHAR(10)&amp; "E.Info.SCM-2.NetworkInterface.Protocol", ""), ""),
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"E.Info.SCM-3.NetworkInterface" &amp;", "&amp;CHAR(10)&amp; "E.Info.SCM-3.NetworkInterface.Protocol",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 "E.Info.SCM-4.NetworkInterface" &amp;", "&amp;CHAR(10)&amp; "E.Info.SCM-4.NetworkInterface.Protocol", ""), "")
), ""), "")), "")</f>
        <v/>
      </c>
      <c r="BL51" s="256" t="str">
        <f>Assets!P49</f>
        <v/>
      </c>
      <c r="BM51" s="257" t="str">
        <f>Assets!Q49</f>
        <v/>
      </c>
      <c r="BN51" s="258"/>
      <c r="BO51" s="390" t="str">
        <f>IF($A51&lt;&gt;"",
   IF(EInfo_ACM[[#This Row],[List of network interfaces]]&lt;&gt;"",
   _xlfn.TEXTJOIN(", "&amp;CHAR(10),TRUE, "E.Info.SCM-1."&amp;EInfo_ACM[[#This Row],[Type]]&amp;"Asset.Class", "E.Info.SCM-1."&amp;EInfo_ACM[[#This Row],[Type]]&amp;"Asset.Com",
          IFERROR(IF(AND(VALUE(RIGHT(EInfo_ACM[[#This Row],[E.Info.DT.SCM-1]]))=3, EInfo_ACM[[#This Row],[SCM.Capabilities, SCM.ManufSecret, SCM.SecChanExchange, SCM.PKI-Based, SCM.ThirdPartyTrust, SCM.Generic, SCM.CCK, SCM.ThreatProtection]]&lt;&gt;"N/A", EInfo_ACM[[#This Row],[SCM.Capabilities, SCM.ManufSecret, SCM.SecChanExchange, SCM.PKI-Based, SCM.ThirdPartyTrust, SCM.Generic, SCM.CCK, SCM.ThreatProtection]]&lt;&gt;""), "E.Info.SCM-2."&amp;EInfo_ACM[[#This Row],[Type]]&amp;"Asset.Com", ""), ""),
         IFERROR(IF(AND(VALUE(RIGHT(EInfo_ACM[[#This Row],[E.Info.DT.SCM-1]]))=3, EInfo_ACM[[#This Row],[SCM.Capabilities, SCM.MessageEnc, SCM.ChannelEnc, SCM.Generic, SCM.ImplDetail, SCM.CCK, SCM.ThreatProtection]]&lt;&gt;"N/A", EInfo_ACM[[#This Row],[SCM.Capabilities, SCM.MessageEnc, SCM.ChannelEnc, SCM.Generic, SCM.ImplDetail, SCM.CCK, SCM.ThreatProtection]]&lt;&gt;""), "E.Info.SCM-3."&amp;EInfo_ACM[[#This Row],[Type]]&amp;"Asset.Com", ""), ""),
 IFERROR(IF(AND(VALUE(RIGHT(EInfo_ACM[[#This Row],[E.Info.DT.SCM-1]]))=3, EInfo_ACM[[#This Row],[SCM.Capabilities, SCM.SeqNumb, SCM.TimeStamp, SCM.OneTimeEncKey, SCM.Generic, SCM.ImplDetail, SCM.Repudiation]]&lt;&gt;"N/A", EInfo_ACM[[#This Row],[SCM.Capabilities, SCM.SeqNumb, SCM.TimeStamp, SCM.OneTimeEncKey, SCM.Generic, SCM.ImplDetail, SCM.Repudiation]]&lt;&gt;""), "E.Info.SCM-4."&amp;EInfo_ACM[[#This Row],[Type]]&amp;"Asset.Com", ""), "")
), ""), "")</f>
        <v/>
      </c>
      <c r="BP51" s="259"/>
      <c r="BQ51" s="390" t="str">
        <f>IFERROR(IF($A51&lt;&gt;"",
   IF(AND(VALUE(RIGHT(EInfo_ACM[[#This Row],[E.Info.DT.SCM-1]]))=3, EInfo_ACM[[#This Row],[List of network interfaces]]&lt;&gt;""),
   _xlfn.TEXTJOIN(", "&amp;CHAR(10),TRUE, "E.Info.SCM-1."&amp;EInfo_ACM[[#This Row],[Type]]&amp;"Asset.AddMeasures"), "N/A"), ""), "N/A")</f>
        <v/>
      </c>
      <c r="BR51" s="259"/>
      <c r="BS51" s="390" t="str">
        <f>IF($A51&lt;&gt;"",
   IF(EInfo_ACM[[#This Row],[List of network interfaces]]&lt;&gt;"",
   _xlfn.TEXTJOIN(", "&amp;CHAR(10),TRUE, "E.Info.SCM-1.SCM.States", "E.Info.SCM-1.SCM.SecObjectives"), ""), "")</f>
        <v/>
      </c>
      <c r="BT51" s="259"/>
      <c r="BU51" s="392" t="str">
        <f>IFERROR(IF(AND($A51&lt;&gt;"", EInfo_ACM[[#This Row],[E.Info.DT.SCM-1]]&lt;&gt;"N/A"),
     IF(VALUE(RIGHT(EInfo_ACM[[#This Row],[E.Info.DT.SCM-1]]))=3,
     _xlfn.TEXTJOIN(", "&amp;CHAR(10), TRUE,
_xlfn.IFS(COUNTIF(EInfo_ACM[[#This Row],[Manufacturing Secret for integrity protection]:[Third-party trust for integrity protection]], "Yes")=1,
                INDEX({"E.Info.SCM-2.SCM.ManufSecret","E.Info.SCM-2.SCM.SecChanExchange","E.Info.SCM-2.SCM.PKI-based","E.Info.SCM-2.SCM.ThirdPartyTrust"}, MATCH("Yes", EInfo_ACM[[#This Row],[Manufacturing Secret for integrity protection]:[Third-party trust for integrity protection]], 0)),
         COUNTIF(EInfo_ACM[[#This Row],[Manufacturing Secret for integrity protection]:[Third-party trust for integrity protection]], "No")=4, "E.Info.SCM-2.SCM.Generic",
COUNTIF(EInfo_ACM[[#This Row],[Manufacturing Secret for integrity protection]:[Third-party trust for integrity protection]], "Yes")&gt;1, "E.Info.SCM-2.SCM.Generic"), "E.Info.SCM-2.SCM.CCK", "E.Info.SCM-2.SCM.ThreatProtection"), "N/A"),
        IF(EInfo_ACM[[#This Row],[E.Info.DT.SCM-1]]="N/A", "N/A", "")), "N/A")</f>
        <v/>
      </c>
      <c r="BV51" s="101"/>
      <c r="BW51" s="102"/>
      <c r="BX51" s="102"/>
      <c r="BY51" s="102"/>
      <c r="BZ51" s="359"/>
      <c r="CA51" s="392" t="str">
        <f>IFERROR(IF(AND($A51&lt;&gt;"", EInfo_ACM[[#This Row],[E.Info.DT.SCM-1]]&lt;&gt;"N/A"),
     IF(VALUE(RIGHT(EInfo_ACM[[#This Row],[E.Info.DT.SCM-1]]))=3,
     _xlfn.TEXTJOIN(", "&amp;CHAR(10), TRUE,
        _xlfn.IFS(COUNTIF(EInfo_ACM[[#This Row],[Message encryption for confidentiality protection]:[Channel encryption for confidentiality protection]], "Yes")=1,
                INDEX({"E.Info.SCM-3.MessageEnc","E.Info.SCM-3.ChannelEnc"}, MATCH("Yes", EInfo_ACM[[#This Row],[Message encryption for confidentiality protection]:[Channel encryption for confidentiality protection]], 0)),
         COUNTIF(EInfo_ACM[[#This Row],[Message encryption for confidentiality protection]:[Channel encryption for confidentiality protection]], "No")=2, "E.Info.SCM-3.Generic",
         COUNTIF(EInfo_ACM[[#This Row],[Message encryption for confidentiality protection]:[Channel encryption for confidentiality protection]], "Yes")&gt;1, "E.Info.SCM-3.Generic"), "E.Info.SCM-3.SCM.CCK", "E.Info.SCM-3.SCM.ThreatProtection"), "N/A"),
        IF(EInfo_ACM[[#This Row],[E.Info.DT.SCM-1]]="N/A", "N/A", "")), "N/A")</f>
        <v/>
      </c>
      <c r="CB51" s="101"/>
      <c r="CC51" s="102"/>
      <c r="CD51" s="359"/>
      <c r="CE51" s="260" t="str">
        <f>IFERROR(IF(AND($A51&lt;&gt;"", EInfo_ACM[[#This Row],[E.Info.DT.SCM-1]]&lt;&gt;"N/A"),
     IF(VALUE(RIGHT(EInfo_ACM[[#This Row],[E.Info.DT.SCM-1]]))=3,
     _xlfn.TEXTJOIN(", "&amp;CHAR(10), TRUE,
_xlfn.IFS(COUNTIF(EInfo_ACM[[#This Row],[Sequence Number]:[One Time Encryption Key]], "Yes")=1,
                INDEX({"E.Info.SCM-4.SCM.SeqNumb","E.Info.SCM-4.SCM.TimeStamp","E.Info.SCM-4.SCM.OneTimeEncKey"}, MATCH("Yes", EInfo_ACM[[#This Row],[Sequence Number]:[One Time Encryption Key]], 0)),
         COUNTIF(EInfo_ACM[[#This Row],[Sequence Number]:[One Time Encryption Key]], "No")=3, "E.Info.SCM-4.SCM.Generic",
COUNTIF(EInfo_ACM[[#This Row],[Sequence Number]:[One Time Encryption Key]], "Yes")&gt;1, "E.Info.SCM-4.SCM.Generic"), "E.Info.SCM-4.SCM.ImplDetail", "E.Info.SCM-4.SCM.Repudiation"), "N/A"),
        IF(EInfo_ACM[[#This Row],[E.Info.DT.SCM-1]]="N/A", "N/A", "")), "N/A")</f>
        <v/>
      </c>
      <c r="CF51" s="101"/>
      <c r="CG51" s="102"/>
      <c r="CH51" s="102"/>
      <c r="CI51" s="359"/>
      <c r="CJ51" s="402"/>
      <c r="CK51" s="395" t="str" cm="1">
        <f t="array" ref="CK51">IFERROR(IF($A51&lt;&gt;"",
     _xlfn.IFS(EInfo_ACM[[#This Row],[E.Info.DT.DLM-1]]="N/A", "N/A", AND(VALUE(RIGHT(EInfo_ACM[[#This Row],[E.Info.DT.DLM-1]]))=1, OR(EInfo_ACM[[#This Row],[Type]]="Privacy", AND(Assets!E49="Sensitive", EInfo_ACM[[#This Row],[Type]]="Security", Assets!D49="Parameter"))), "E.Info.DLM-1.DLM"), ""), "")</f>
        <v/>
      </c>
      <c r="CL51" s="398"/>
      <c r="CM51" s="264"/>
      <c r="CN51" s="261" t="str">
        <f>IFERROR(IF($A51&lt;&gt;"",
     IF(EInfo_ACM[[#This Row],[E.Info.DT.UNM-1]]="N/A", "N/A",
      IF(EInfo_ACM[[#This Row],[Type]]="Privacy",
         _xlfn.TEXTJOIN(", "&amp;CHAR(10), TRUE, "E.Info.UNM-1.PersonalInformation.UseCase", "E.Info.UNM-1.PersonalInformation.UseCase.Notification",
          IF(VALUE(RIGHT(EInfo_ACM[[#This Row],[E.Info.DT.UNM-1]]))=1, "E.Info.UNM-1.PersonalInformation.UseCase.OtherInfo", {"E.Info.UNM-2.Notifications","E.Info.UNM-2.Notifications.UseCase","E.Info.UNM-2.Notifications.UseCase.Content"})), "")), ""), "")</f>
        <v/>
      </c>
      <c r="CO51" s="144"/>
      <c r="CP51" s="193" t="str">
        <f>IF($A51&lt;&gt;"",
IF(Assets!J49&lt;&gt;"",Assets!J49,"Please complete the CCK column in the Asset sheet"),"")</f>
        <v/>
      </c>
      <c r="CQ51" s="262"/>
      <c r="CR51" s="405" t="str">
        <f>IFERROR(IF($A51&lt;&gt;"",
   IF(AND(EInfo_ACM[[#This Row],[E.Info.DT.CCK-1]]&lt;&gt;"N/A", EInfo_ACM[[#This Row],[Confidential cryptographic key?]]="Yes"),
     _xlfn.TEXTJOIN(", "&amp;CHAR(10), TRUE, "E.Info.CCK-1.CCK", "E.Info.CCK-1.CCK.SecurityStrength",
        IF(VALUE(RIGHT(EInfo_ACM[[#This Row],[E.Info.DT.CCK-1]]))=1, "E.Info.CCK-1.CCK.Deviation", "")), "N/A" ), ""), "")</f>
        <v/>
      </c>
      <c r="CS51" s="86"/>
      <c r="CT51" s="263"/>
      <c r="CU51" s="405" t="str">
        <f>IFERROR(IF($A51&lt;&gt;"",
   IF(AND(EInfo_ACM[[#This Row],[E.Info.DT.CCK-1]]&lt;&gt;"N/A", EInfo_ACM[[#This Row],[Confidential cryptographic key?]]="Yes"),
     _xlfn.TEXTJOIN(", "&amp;CHAR(10), TRUE, "E.Info.CCK-2.Generation", "E.Info.CCK-2.Generation.CCK",
            _xlfn.IFS(VALUE(RIGHT(EInfo_ACM[[#This Row],[E.Info.DT.CCK-2]]))=1, "E.Info.CCK-2.Generation.Deviation",
             VALUE(RIGHT(EInfo_ACM[[#This Row],[E.Info.DT.CCK-2]]))=2, {"E.Info.CCK-2.Generation.RNSource","E.Info.CCK-2.Generation.RNG","E.Info.CCK-2.Generation.Implementation"})), "N/A" ), ""), "N/A")</f>
        <v/>
      </c>
      <c r="CV51" s="86"/>
      <c r="CW51" s="263"/>
      <c r="CX51" s="331" t="str">
        <f>IFERROR(IF($A51&lt;&gt;"",
   IF(AND(EInfo_ACM[[#This Row],[E.Info.DT.CCK-1]]&lt;&gt;"N/A", EInfo_ACM[[#This Row],[Confidential cryptographic key?]]="Yes"),
     _xlfn.TEXTJOIN(", "&amp;CHAR(10), TRUE,
            _xlfn.IFS(VALUE(RIGHT(EInfo_ACM[[#This Row],[E.Info.DT.CCK-3]]))=1, "E.Info.CCK-3.CCK.Unique",
             VALUE(RIGHT(EInfo_ACM[[#This Row],[E.Info.DT.CCK-3]]))=2, "E.Info.CCK-2.CCK.Controlled",
             VALUE(RIGHT(EInfo_ACM[[#This Row],[E.Info.DT.CCK-3]]))=3, "E.Info.CCK-2.CCK.Shared")), "N/A" ), ""), "N/A")</f>
        <v/>
      </c>
      <c r="CY51" s="86"/>
      <c r="CZ51" s="14"/>
    </row>
  </sheetData>
  <sheetProtection algorithmName="SHA-512" hashValue="lNPWdv3YWD2HBRnJB0DBaEAmSluWC8nsdZCwTq/7+MZaOXk5R5HDVz0WpDg9DD1SGWiXW72iQ+rhRoYA+n2nCA==" saltValue="ky8QpmuGrxbCG5ODcLRwUQ==" spinCount="100000" sheet="1" objects="1" scenarios="1" formatCells="0" formatColumns="0" formatRows="0" sort="0"/>
  <protectedRanges>
    <protectedRange sqref="I4:I51" name="ACM"/>
    <protectedRange sqref="CT4:CT51" name="DT_CCK_2"/>
    <protectedRange sqref="CM4:CM51" name="DT_UNM_1"/>
    <protectedRange sqref="BI4:BI51" name="DT_SCM_1"/>
    <protectedRange sqref="AM4:AN51" name="DT_AUM_5"/>
    <protectedRange sqref="AC4:AE51" name="DT_AUM_2"/>
    <protectedRange sqref="R4:R51" name="DT_ACM_6"/>
    <protectedRange sqref="M4:M51" name="DT_ACM_4"/>
    <protectedRange sqref="C4:C51" name="DT_ACM_1"/>
    <protectedRange sqref="CV4:CV51" name="CCK_2"/>
    <protectedRange sqref="CP4:CP51" name="CCK_question"/>
    <protectedRange sqref="CL4:CL51" name="DLM"/>
    <protectedRange sqref="CF4:CI51" name="SCM_4"/>
    <protectedRange sqref="BV4:BZ51" name="SCM_2"/>
    <protectedRange sqref="BR4:BR51" name="SCM_auth"/>
    <protectedRange sqref="BN4:BN51" name="SCM"/>
    <protectedRange sqref="BD4:BG51" name="SSM_3"/>
    <protectedRange sqref="AV4:AV51" name="SSM"/>
    <protectedRange sqref="AP4:AP51" name="AUM_5"/>
    <protectedRange sqref="AI4:AI51" name="AUM_3"/>
    <protectedRange sqref="AB4:AB51" name="AUM"/>
    <protectedRange sqref="S4:S51" name="ACM_6"/>
    <protectedRange sqref="O4:O51" name="ACM_4"/>
    <protectedRange sqref="L4:L51" name="ACM_3"/>
    <protectedRange sqref="Q4:Q51" name="ACM_5"/>
    <protectedRange sqref="Z4:Z51" name="ACM_Interfaces"/>
    <protectedRange sqref="AG4:AG51" name="AUM_2"/>
    <protectedRange sqref="AL4:AL51" name="AUM_4"/>
    <protectedRange sqref="AR4:AR51" name="AUM_6"/>
    <protectedRange sqref="AX4:BB51" name="SSM_2"/>
    <protectedRange sqref="BH4:BH51" name="SCM_accessibility"/>
    <protectedRange sqref="BP4:BP51" name="SCM_Class"/>
    <protectedRange sqref="BT4:BT51" name="SCM_states"/>
    <protectedRange sqref="CB4:CD51" name="SCM_3"/>
    <protectedRange sqref="CO4:CO51" name="UNM"/>
    <protectedRange sqref="CS4:CS51" name="CCK"/>
    <protectedRange sqref="CY4:CY51" name="CCK_3"/>
    <protectedRange sqref="J4:J51" name="DT_ACM_3"/>
    <protectedRange sqref="P4:P51" name="DT_ACM_5"/>
    <protectedRange sqref="T4:V51" name="DT_AUM_1"/>
    <protectedRange sqref="AJ4:AJ51" name="DT_AUM_4"/>
    <protectedRange sqref="AT4:AT51" name="DT_SSM_1"/>
    <protectedRange sqref="CJ4:CJ51" name="DT_DLM_1"/>
    <protectedRange sqref="CQ4:CQ51" name="DT_CCK_1"/>
    <protectedRange sqref="CW4:CW51" name="DT_CCK_3"/>
  </protectedRanges>
  <phoneticPr fontId="7" type="noConversion"/>
  <dataValidations count="26">
    <dataValidation type="list" allowBlank="1" showInputMessage="1" showErrorMessage="1" sqref="C4:C51" xr:uid="{C173D3CA-D3AD-4891-A547-1BEB66C1BC12}">
      <formula1>"N/A,DT.ACM-1.DN-1,DT.ACM-1.DN-2,DT.ACM-1.DN-3,DT.ACM-1.DN-4"</formula1>
    </dataValidation>
    <dataValidation type="list" allowBlank="1" showInputMessage="1" showErrorMessage="1" sqref="J23:J51 M23:M51" xr:uid="{0F025EDE-1EA1-49CE-A7ED-99677A44C233}">
      <formula1>"N/A,DT.ACM-3.DN-1, DT.ACM-3.DN-2"</formula1>
    </dataValidation>
    <dataValidation type="list" allowBlank="1" showInputMessage="1" showErrorMessage="1" sqref="M4:M51" xr:uid="{0E15910E-4BD5-4F81-924E-2844E7CDB479}">
      <formula1>"N/A,DT.ACM-4.DN-1,DT.ACM-4.DN-2,DT.ACM-4.DN-3"</formula1>
    </dataValidation>
    <dataValidation type="list" allowBlank="1" showInputMessage="1" showErrorMessage="1" sqref="J4:J22 M4:M22" xr:uid="{2BB3DF82-657E-4FBA-9E7E-9064DA9A3218}">
      <formula1>"N/A,DT.ACM-3.DN-1,DT.ACM-3.DN-2"</formula1>
    </dataValidation>
    <dataValidation type="list" allowBlank="1" showInputMessage="1" showErrorMessage="1" sqref="P4:P51" xr:uid="{E486BBD2-CD11-434F-BE22-B90DE30745B9}">
      <formula1>"N/A,DT.ACM-5.DN-1,DT.ACM-5.DN-2"</formula1>
    </dataValidation>
    <dataValidation type="list" allowBlank="1" showInputMessage="1" showErrorMessage="1" sqref="R4:R51" xr:uid="{009D4E35-1965-42B1-AB3E-3C617EB52918}">
      <formula1>"N/A,DT.ACM-6.DN-1,DT.ACM-6.DN-2"</formula1>
    </dataValidation>
    <dataValidation type="list" allowBlank="1" showInputMessage="1" showErrorMessage="1" sqref="U4:U51" xr:uid="{1C25A0B8-B51B-48E3-AE75-56B6289DD9C2}">
      <formula1>"N/A,DT.AUM-1-2.DN-1,DT.AUM-1-2.DN-2,DT.AUM-1-2.DN-3,DT.AUM-1-2.DN-4"</formula1>
    </dataValidation>
    <dataValidation type="list" allowBlank="1" showInputMessage="1" showErrorMessage="1" sqref="AC4:AC51" xr:uid="{A8CA210D-A4E8-4B8C-A12F-7ADC266022BE}">
      <formula1>"N/A,DT.AUM-2.DN-1"</formula1>
    </dataValidation>
    <dataValidation type="list" allowBlank="1" showInputMessage="1" showErrorMessage="1" sqref="AD4:AD51" xr:uid="{41338525-005C-4637-B01A-E8793A0342EC}">
      <formula1>"N/A,DT.AUM-2-1.DN-1"</formula1>
    </dataValidation>
    <dataValidation type="list" allowBlank="1" showInputMessage="1" showErrorMessage="1" sqref="AE4:AE51" xr:uid="{2FBB246C-C423-4E3A-86D2-C10B1EDCE441}">
      <formula1>"N/A,DT.AUM-2-2.DN-1,DT.AUM-2-2.DN-2"</formula1>
    </dataValidation>
    <dataValidation type="list" allowBlank="1" showInputMessage="1" showErrorMessage="1" sqref="V4:V51" xr:uid="{ABA59868-061A-46E3-95B6-632D01DEC94B}">
      <formula1>"N/A,DT.AUM-1-3.DN-1"</formula1>
    </dataValidation>
    <dataValidation type="list" allowBlank="1" showInputMessage="1" showErrorMessage="1" sqref="AJ4:AJ51" xr:uid="{CFDC5195-C19C-4F6A-ACB6-C640B216F66A}">
      <formula1>"N/A,DT.AUM-4.DN-1,DT.AUM-4.DN-2"</formula1>
    </dataValidation>
    <dataValidation type="list" allowBlank="1" showInputMessage="1" showErrorMessage="1" sqref="AM4:AM51" xr:uid="{09591E53-9155-4888-BFD2-498DC484AF18}">
      <formula1>"N/A,DT.AUM-5-1.DN-1,DT.AUM-5-1.DN-2,DT.AUM-5-1.DN-3"</formula1>
    </dataValidation>
    <dataValidation type="list" allowBlank="1" showInputMessage="1" showErrorMessage="1" sqref="AN4:AN51" xr:uid="{605D0247-20B4-4E71-8C1A-2BD80791F1BC}">
      <formula1>"N/A,DT.AUM-5-1.DN-1,DT.AUM-5-2.DN-2,DT.AUM-5-2.DN-3"</formula1>
    </dataValidation>
    <dataValidation type="list" allowBlank="1" showInputMessage="1" showErrorMessage="1" sqref="AT4:AT51" xr:uid="{201FC6B1-08BC-4335-8839-FFA2B096A627}">
      <formula1>"N/A,DT.SSM-1.DN-1,DT.SSM-1.DN-2"</formula1>
    </dataValidation>
    <dataValidation type="list" allowBlank="1" showInputMessage="1" showErrorMessage="1" sqref="CJ4:CJ51" xr:uid="{4C3D36FA-6733-4EFD-A078-F9E740478D6B}">
      <formula1>"N/A,DT.DLM-1.DN-1"</formula1>
    </dataValidation>
    <dataValidation type="list" allowBlank="1" showInputMessage="1" showErrorMessage="1" sqref="CM4:CM51" xr:uid="{B5D607F8-3F6C-4A4C-9C1C-BA3319608E76}">
      <formula1>"N/A,DT.UNM-1.DN-1,DT.UNM-1.DN-2"</formula1>
    </dataValidation>
    <dataValidation type="list" allowBlank="1" showInputMessage="1" showErrorMessage="1" sqref="CQ4:CQ51" xr:uid="{66ACD99E-1BDE-4974-89A6-D6C8FD19BE33}">
      <formula1>"N/A,DT.CCK-1.DN-1,DT.CCK-1.DN-2"</formula1>
    </dataValidation>
    <dataValidation type="list" allowBlank="1" showInputMessage="1" showErrorMessage="1" sqref="CT4:CT51" xr:uid="{34CD1A5E-F796-4CC8-9E44-DFEB71E94BF2}">
      <formula1>"N/A,DT.CCK-2.DN-1,DT.CCK-2.DN-2"</formula1>
    </dataValidation>
    <dataValidation type="list" allowBlank="1" showInputMessage="1" showErrorMessage="1" sqref="CW4:CW51" xr:uid="{4F5729AE-E3BA-4145-BA76-0AC7A107FAE7}">
      <formula1>"N/A,DT.CCK-3.DN-1,DT.CCK-3.DN-2,DT.CCK-3.DN-3"</formula1>
    </dataValidation>
    <dataValidation type="list" allowBlank="1" showInputMessage="1" showErrorMessage="1" sqref="C4:C51" xr:uid="{47FE84E3-3520-4406-88F0-6F82FD5B95EB}">
      <formula1>"Network,Privacy,Financial,Security"</formula1>
    </dataValidation>
    <dataValidation type="list" allowBlank="1" showInputMessage="1" showErrorMessage="1" sqref="T4:T51" xr:uid="{ED567EF6-4705-4462-B385-52007DCEA82C}">
      <formula1>"N/A,DT.AUM-1-1.DN-1,DT.AUM-1-1.DN-2,DT.AUM-1-1.DN-3"</formula1>
    </dataValidation>
    <dataValidation type="list" allowBlank="1" showInputMessage="1" showErrorMessage="1" sqref="AE4:AE51" xr:uid="{069550FD-2C0E-4ED5-AB02-CB6F66E3C363}">
      <formula1>"N/A,DT.AUM-2-2.DN-1"</formula1>
    </dataValidation>
    <dataValidation type="list" allowBlank="1" showInputMessage="1" showErrorMessage="1" sqref="AX4:BA51 BD4:BF51 BV4:BY51 CB4:CC51 CF4:CH51" xr:uid="{7529C2B1-9B29-4386-9719-EC048EBA6218}">
      <formula1>"N/A,Yes,No"</formula1>
    </dataValidation>
    <dataValidation type="list" allowBlank="1" showInputMessage="1" showErrorMessage="1" sqref="BI4:BI51" xr:uid="{969A444C-145E-417E-8F3F-156F20A6D587}">
      <formula1>"N/A,DT.SCM-1.DN-1,DT.SCM-1.DN-2,DT.SCM-1.DN-3"</formula1>
    </dataValidation>
    <dataValidation type="list" allowBlank="1" showInputMessage="1" showErrorMessage="1" sqref="Q4:Q51 S4:S51" xr:uid="{23705DA3-63BF-4856-B14C-73ABDB3620F0}">
      <formula1>"Yes,No"</formula1>
    </dataValidation>
  </dataValidations>
  <pageMargins left="0.7" right="0.7" top="0.75" bottom="0.75" header="0.3" footer="0.3"/>
  <pageSetup paperSize="9" orientation="portrait" r:id="rId1"/>
  <ignoredErrors>
    <ignoredError sqref="AW4:AW51 F4:F51 CR4:CR51 D4:D51" calculatedColumn="1"/>
  </ignoredErrors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D0D3B-CB5A-414F-9D40-4B5E4F2D33B7}">
  <sheetPr>
    <tabColor theme="2"/>
    <pageSetUpPr autoPageBreaks="0"/>
  </sheetPr>
  <dimension ref="A1:O51"/>
  <sheetViews>
    <sheetView zoomScale="55" zoomScaleNormal="55" workbookViewId="0"/>
  </sheetViews>
  <sheetFormatPr defaultColWidth="16" defaultRowHeight="85.5" customHeight="1" x14ac:dyDescent="0.3"/>
  <cols>
    <col min="1" max="1" width="24.375" style="15" customWidth="1"/>
    <col min="2" max="2" width="26.5" style="14" customWidth="1"/>
    <col min="3" max="3" width="33.875" style="15" customWidth="1"/>
    <col min="4" max="4" width="43.75" style="15" customWidth="1"/>
    <col min="5" max="5" width="41.625" customWidth="1"/>
    <col min="6" max="6" width="48" style="14" customWidth="1"/>
    <col min="7" max="7" width="34.875" style="16" customWidth="1"/>
    <col min="8" max="10" width="20.625" style="16" customWidth="1"/>
    <col min="11" max="11" width="47.125" style="16" customWidth="1"/>
    <col min="12" max="12" width="31.875" style="14" customWidth="1"/>
    <col min="13" max="13" width="46.375" style="16" bestFit="1" customWidth="1"/>
    <col min="14" max="14" width="20.625" style="14" customWidth="1"/>
    <col min="15" max="15" width="26.625" style="16" customWidth="1"/>
    <col min="16" max="16384" width="16" style="14"/>
  </cols>
  <sheetData>
    <row r="1" spans="1:15" s="270" customFormat="1" ht="14.25" x14ac:dyDescent="0.25">
      <c r="A1" s="194" t="s">
        <v>385</v>
      </c>
      <c r="C1" s="267" t="s">
        <v>151</v>
      </c>
      <c r="D1" s="268"/>
      <c r="E1" s="196" t="s">
        <v>151</v>
      </c>
      <c r="G1" s="196" t="s">
        <v>27</v>
      </c>
      <c r="L1" s="196" t="s">
        <v>28</v>
      </c>
    </row>
    <row r="2" spans="1:15" s="13" customFormat="1" ht="85.5" customHeight="1" x14ac:dyDescent="0.3">
      <c r="A2" s="44" t="s">
        <v>37</v>
      </c>
      <c r="B2" s="190" t="s">
        <v>26</v>
      </c>
      <c r="C2" s="189" t="s">
        <v>149</v>
      </c>
      <c r="D2" s="188" t="s">
        <v>150</v>
      </c>
      <c r="E2" s="187" t="s">
        <v>153</v>
      </c>
      <c r="F2" s="95" t="s">
        <v>152</v>
      </c>
      <c r="G2" s="97" t="s">
        <v>154</v>
      </c>
      <c r="H2" s="98" t="s">
        <v>155</v>
      </c>
      <c r="I2" s="99" t="s">
        <v>156</v>
      </c>
      <c r="J2" s="99" t="s">
        <v>157</v>
      </c>
      <c r="K2" s="96" t="s">
        <v>158</v>
      </c>
      <c r="L2" s="185" t="s">
        <v>160</v>
      </c>
      <c r="M2" s="96" t="s">
        <v>159</v>
      </c>
    </row>
    <row r="3" spans="1:15" s="283" customFormat="1" ht="90.75" customHeight="1" thickBot="1" x14ac:dyDescent="0.35">
      <c r="A3" s="272" t="s">
        <v>283</v>
      </c>
      <c r="B3" s="273" t="s">
        <v>284</v>
      </c>
      <c r="C3" s="274" t="s">
        <v>285</v>
      </c>
      <c r="D3" s="275" t="s">
        <v>286</v>
      </c>
      <c r="E3" s="276" t="s">
        <v>287</v>
      </c>
      <c r="F3" s="277" t="s">
        <v>288</v>
      </c>
      <c r="G3" s="278" t="s">
        <v>289</v>
      </c>
      <c r="H3" s="279" t="s">
        <v>290</v>
      </c>
      <c r="I3" s="280" t="s">
        <v>291</v>
      </c>
      <c r="J3" s="280" t="s">
        <v>292</v>
      </c>
      <c r="K3" s="281" t="s">
        <v>293</v>
      </c>
      <c r="L3" s="282" t="s">
        <v>294</v>
      </c>
      <c r="M3" s="281" t="s">
        <v>295</v>
      </c>
    </row>
    <row r="4" spans="1:15" ht="85.5" customHeight="1" x14ac:dyDescent="0.3">
      <c r="A4" s="334"/>
      <c r="B4" s="335"/>
      <c r="C4" s="330" t="str">
        <f>IF($A4&lt;&gt;"",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4" s="337"/>
      <c r="E4" s="330" t="str">
        <f>IF($A4&lt;&gt;"",
  IF(EInfo_SUM[[#This Row],[E.Info.DT.SUM-1]]&lt;&gt;"N/A",
    _xlfn.TEXTJOIN(", "&amp;CHAR(10), TRUE, "E.Info.SUM-1.PartOfSoftw",
    IFERROR(IF(VALUE(RIGHT(EInfo_SUM[[#This Row],[E.Info.DT.SUM-1]]))=5, "E.Info.SUM-2.PartOfSoftw, "&amp;"E.Info.SUM-3.PartOfSoftw", ""),"")), "N/A"), "")</f>
        <v/>
      </c>
      <c r="F4" s="48"/>
      <c r="G4" s="328" t="str" cm="1">
        <f t="array" ref="G4">IFERROR(IF(AND($A4&lt;&gt;"",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4" s="93"/>
      <c r="I4" s="94"/>
      <c r="J4" s="94"/>
      <c r="K4" s="86"/>
      <c r="L4" s="329" t="str">
        <f>IFERROR(IF(AND($A4&lt;&gt;"", EInfo_SUM[[#This Row],[E.Info.DT.SUM-1]]&lt;&gt;"N/A"),
  IF(VALUE(RIGHT(EInfo_SUM[[#This Row],[E.Info.DT.SUM-1]]))=5, "E.Info.SUM-3.SUM.Automation", "N/A"),
IF(EInfo_SUM[[#This Row],[E.Info.DT.SUM-1]]="N/A", "N/A", "")), "")</f>
        <v/>
      </c>
      <c r="M4" s="86"/>
      <c r="O4" s="14"/>
    </row>
    <row r="5" spans="1:15" ht="85.5" customHeight="1" x14ac:dyDescent="0.3">
      <c r="A5" s="334"/>
      <c r="B5" s="105"/>
      <c r="C5" s="330" t="str">
        <f>IF($A5&lt;&gt;"",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5" s="52"/>
      <c r="E5" s="330" t="str">
        <f>IF($A5&lt;&gt;"",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5" s="49"/>
      <c r="G5" s="328" t="str" cm="1">
        <f t="array" ref="G5">IFERROR(IF(AND($A5&lt;&gt;"",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5" s="93"/>
      <c r="I5" s="94"/>
      <c r="J5" s="94"/>
      <c r="K5" s="86" t="str">
        <f t="shared" ref="K4:K34" si="0">_xlfn.TEXTJOIN(", ", TRUE, )</f>
        <v/>
      </c>
      <c r="L5" s="329" t="str">
        <f>IFERROR(IF(AND($A5&lt;&gt;"", EInfo_SUM[[#This Row],[E.Info.DT.SUM-1]]&lt;&gt;"N/A"),
  IF(VALUE(RIGHT(EInfo_SUM[[#This Row],[E.Info.DT.SUM-1]]))=5, "E.Info.SUM-3.SUM.Automation", "N/A"),
IF(EInfo_SUM[[#This Row],[E.Info.DT.SUM-1]]="N/A", "N/A", "")), "")</f>
        <v/>
      </c>
      <c r="M5" s="86"/>
      <c r="O5" s="14"/>
    </row>
    <row r="6" spans="1:15" ht="85.5" customHeight="1" x14ac:dyDescent="0.3">
      <c r="A6" s="334"/>
      <c r="B6" s="105"/>
      <c r="C6" s="330" t="str">
        <f>IF($A6&lt;&gt;"",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6" s="52"/>
      <c r="E6" s="330" t="str">
        <f>IF($A6&lt;&gt;"",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6" s="49"/>
      <c r="G6" s="328" t="str" cm="1">
        <f t="array" ref="G6">IFERROR(IF(AND($A6&lt;&gt;"",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6" s="93"/>
      <c r="I6" s="94"/>
      <c r="J6" s="94"/>
      <c r="K6" s="86" t="str">
        <f t="shared" si="0"/>
        <v/>
      </c>
      <c r="L6" s="329" t="str">
        <f>IFERROR(IF(AND($A6&lt;&gt;"", EInfo_SUM[[#This Row],[E.Info.DT.SUM-1]]&lt;&gt;"N/A"),
  IF(VALUE(RIGHT(EInfo_SUM[[#This Row],[E.Info.DT.SUM-1]]))=5, "E.Info.SUM-3.SUM.Automation", "N/A"),
IF(EInfo_SUM[[#This Row],[E.Info.DT.SUM-1]]="N/A", "N/A", "")), "")</f>
        <v/>
      </c>
      <c r="M6" s="86"/>
      <c r="O6" s="14"/>
    </row>
    <row r="7" spans="1:15" ht="85.5" customHeight="1" x14ac:dyDescent="0.3">
      <c r="A7" s="334"/>
      <c r="B7" s="105"/>
      <c r="C7" s="330" t="str">
        <f>IF($A7&lt;&gt;"",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7" s="52"/>
      <c r="E7" s="330" t="str">
        <f>IF($A7&lt;&gt;"",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7" s="49"/>
      <c r="G7" s="328" t="str" cm="1">
        <f t="array" ref="G7">IFERROR(IF(AND($A7&lt;&gt;"",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7" s="93"/>
      <c r="I7" s="94"/>
      <c r="J7" s="94"/>
      <c r="K7" s="86" t="str">
        <f t="shared" si="0"/>
        <v/>
      </c>
      <c r="L7" s="329" t="str">
        <f>IFERROR(IF(AND($A7&lt;&gt;"", EInfo_SUM[[#This Row],[E.Info.DT.SUM-1]]&lt;&gt;"N/A"),
  IF(VALUE(RIGHT(EInfo_SUM[[#This Row],[E.Info.DT.SUM-1]]))=5, "E.Info.SUM-3.SUM.Automation", "N/A"),
IF(EInfo_SUM[[#This Row],[E.Info.DT.SUM-1]]="N/A", "N/A", "")), "")</f>
        <v/>
      </c>
      <c r="M7" s="86"/>
      <c r="O7" s="14"/>
    </row>
    <row r="8" spans="1:15" ht="85.5" customHeight="1" x14ac:dyDescent="0.3">
      <c r="A8" s="334"/>
      <c r="B8" s="105"/>
      <c r="C8" s="330" t="str">
        <f>IF($A8&lt;&gt;"",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8" s="52"/>
      <c r="E8" s="330" t="str">
        <f>IF($A8&lt;&gt;"",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8" s="49"/>
      <c r="G8" s="328" t="str" cm="1">
        <f t="array" ref="G8">IFERROR(IF(AND($A8&lt;&gt;"",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8" s="93"/>
      <c r="I8" s="94"/>
      <c r="J8" s="94"/>
      <c r="K8" s="86" t="str">
        <f t="shared" si="0"/>
        <v/>
      </c>
      <c r="L8" s="329" t="str">
        <f>IFERROR(IF(AND($A8&lt;&gt;"", EInfo_SUM[[#This Row],[E.Info.DT.SUM-1]]&lt;&gt;"N/A"),
  IF(VALUE(RIGHT(EInfo_SUM[[#This Row],[E.Info.DT.SUM-1]]))=5, "E.Info.SUM-3.SUM.Automation", "N/A"),
IF(EInfo_SUM[[#This Row],[E.Info.DT.SUM-1]]="N/A", "N/A", "")), "")</f>
        <v/>
      </c>
      <c r="M8" s="86"/>
      <c r="O8" s="14"/>
    </row>
    <row r="9" spans="1:15" ht="85.5" customHeight="1" x14ac:dyDescent="0.3">
      <c r="A9" s="334"/>
      <c r="B9" s="105"/>
      <c r="C9" s="330" t="str">
        <f>IF($A9&lt;&gt;"",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9" s="52"/>
      <c r="E9" s="330" t="str">
        <f>IF($A9&lt;&gt;"",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9" s="49"/>
      <c r="G9" s="328" t="str" cm="1">
        <f t="array" ref="G9">IFERROR(IF(AND($A9&lt;&gt;"",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9" s="93"/>
      <c r="I9" s="94"/>
      <c r="J9" s="94"/>
      <c r="K9" s="86" t="str">
        <f t="shared" si="0"/>
        <v/>
      </c>
      <c r="L9" s="329" t="str">
        <f>IFERROR(IF(AND($A9&lt;&gt;"", EInfo_SUM[[#This Row],[E.Info.DT.SUM-1]]&lt;&gt;"N/A"),
  IF(VALUE(RIGHT(EInfo_SUM[[#This Row],[E.Info.DT.SUM-1]]))=5, "E.Info.SUM-3.SUM.Automation", "N/A"),
IF(EInfo_SUM[[#This Row],[E.Info.DT.SUM-1]]="N/A", "N/A", "")), "")</f>
        <v/>
      </c>
      <c r="M9" s="86"/>
      <c r="O9" s="14"/>
    </row>
    <row r="10" spans="1:15" ht="85.5" customHeight="1" x14ac:dyDescent="0.3">
      <c r="A10" s="334"/>
      <c r="B10" s="105"/>
      <c r="C10" s="330" t="str">
        <f>IF($A10&lt;&gt;"",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10" s="52"/>
      <c r="E10" s="330" t="str">
        <f>IF($A10&lt;&gt;"",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10" s="49"/>
      <c r="G10" s="328" t="str" cm="1">
        <f t="array" ref="G10">IFERROR(IF(AND($A10&lt;&gt;"",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10" s="93"/>
      <c r="I10" s="94"/>
      <c r="J10" s="94"/>
      <c r="K10" s="86" t="str">
        <f t="shared" si="0"/>
        <v/>
      </c>
      <c r="L10" s="329" t="str">
        <f>IFERROR(IF(AND($A10&lt;&gt;"", EInfo_SUM[[#This Row],[E.Info.DT.SUM-1]]&lt;&gt;"N/A"),
  IF(VALUE(RIGHT(EInfo_SUM[[#This Row],[E.Info.DT.SUM-1]]))=5, "E.Info.SUM-3.SUM.Automation", "N/A"),
IF(EInfo_SUM[[#This Row],[E.Info.DT.SUM-1]]="N/A", "N/A", "")), "")</f>
        <v/>
      </c>
      <c r="M10" s="86"/>
      <c r="O10" s="14"/>
    </row>
    <row r="11" spans="1:15" ht="85.5" customHeight="1" x14ac:dyDescent="0.3">
      <c r="A11" s="334"/>
      <c r="B11" s="105"/>
      <c r="C11" s="330" t="str">
        <f>IF($A11&lt;&gt;"",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11" s="52"/>
      <c r="E11" s="330" t="str">
        <f>IF($A11&lt;&gt;"",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11" s="49"/>
      <c r="G11" s="328" t="str" cm="1">
        <f t="array" ref="G11">IFERROR(IF(AND($A11&lt;&gt;"",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11" s="93"/>
      <c r="I11" s="94"/>
      <c r="J11" s="94"/>
      <c r="K11" s="86" t="str">
        <f t="shared" si="0"/>
        <v/>
      </c>
      <c r="L11" s="329" t="str">
        <f>IFERROR(IF(AND($A11&lt;&gt;"", EInfo_SUM[[#This Row],[E.Info.DT.SUM-1]]&lt;&gt;"N/A"),
  IF(VALUE(RIGHT(EInfo_SUM[[#This Row],[E.Info.DT.SUM-1]]))=5, "E.Info.SUM-3.SUM.Automation", "N/A"),
IF(EInfo_SUM[[#This Row],[E.Info.DT.SUM-1]]="N/A", "N/A", "")), "")</f>
        <v/>
      </c>
      <c r="M11" s="86"/>
      <c r="O11" s="14"/>
    </row>
    <row r="12" spans="1:15" ht="85.5" customHeight="1" x14ac:dyDescent="0.3">
      <c r="A12" s="334"/>
      <c r="B12" s="105"/>
      <c r="C12" s="330" t="str">
        <f>IF($A12&lt;&gt;"",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12" s="52"/>
      <c r="E12" s="330" t="str">
        <f>IF($A12&lt;&gt;"",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12" s="49"/>
      <c r="G12" s="328" t="str" cm="1">
        <f t="array" ref="G12">IFERROR(IF(AND($A12&lt;&gt;"",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12" s="93"/>
      <c r="I12" s="94"/>
      <c r="J12" s="94"/>
      <c r="K12" s="86" t="str">
        <f t="shared" si="0"/>
        <v/>
      </c>
      <c r="L12" s="329" t="str">
        <f>IFERROR(IF(AND($A12&lt;&gt;"", EInfo_SUM[[#This Row],[E.Info.DT.SUM-1]]&lt;&gt;"N/A"),
  IF(VALUE(RIGHT(EInfo_SUM[[#This Row],[E.Info.DT.SUM-1]]))=5, "E.Info.SUM-3.SUM.Automation", "N/A"),
IF(EInfo_SUM[[#This Row],[E.Info.DT.SUM-1]]="N/A", "N/A", "")), "")</f>
        <v/>
      </c>
      <c r="M12" s="86"/>
      <c r="O12" s="14"/>
    </row>
    <row r="13" spans="1:15" ht="85.5" customHeight="1" x14ac:dyDescent="0.3">
      <c r="A13" s="334"/>
      <c r="B13" s="105"/>
      <c r="C13" s="330" t="str">
        <f>IF($A13&lt;&gt;"",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13" s="52"/>
      <c r="E13" s="330" t="str">
        <f>IF($A13&lt;&gt;"",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13" s="49"/>
      <c r="G13" s="328" t="str" cm="1">
        <f t="array" ref="G13">IFERROR(IF(AND($A13&lt;&gt;"",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13" s="93"/>
      <c r="I13" s="94"/>
      <c r="J13" s="94"/>
      <c r="K13" s="86" t="str">
        <f t="shared" si="0"/>
        <v/>
      </c>
      <c r="L13" s="329" t="str">
        <f>IFERROR(IF(AND($A13&lt;&gt;"", EInfo_SUM[[#This Row],[E.Info.DT.SUM-1]]&lt;&gt;"N/A"),
  IF(VALUE(RIGHT(EInfo_SUM[[#This Row],[E.Info.DT.SUM-1]]))=5, "E.Info.SUM-3.SUM.Automation", "N/A"),
IF(EInfo_SUM[[#This Row],[E.Info.DT.SUM-1]]="N/A", "N/A", "")), "")</f>
        <v/>
      </c>
      <c r="M13" s="86"/>
      <c r="O13" s="14"/>
    </row>
    <row r="14" spans="1:15" ht="85.5" customHeight="1" x14ac:dyDescent="0.3">
      <c r="A14" s="334"/>
      <c r="B14" s="105"/>
      <c r="C14" s="330" t="str">
        <f>IF($A14&lt;&gt;"",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14" s="52"/>
      <c r="E14" s="330" t="str">
        <f>IF($A14&lt;&gt;"",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14" s="49"/>
      <c r="G14" s="328" t="str" cm="1">
        <f t="array" ref="G14">IFERROR(IF(AND($A14&lt;&gt;"",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14" s="93"/>
      <c r="I14" s="94"/>
      <c r="J14" s="94"/>
      <c r="K14" s="86" t="str">
        <f t="shared" si="0"/>
        <v/>
      </c>
      <c r="L14" s="329" t="str">
        <f>IFERROR(IF(AND($A14&lt;&gt;"", EInfo_SUM[[#This Row],[E.Info.DT.SUM-1]]&lt;&gt;"N/A"),
  IF(VALUE(RIGHT(EInfo_SUM[[#This Row],[E.Info.DT.SUM-1]]))=5, "E.Info.SUM-3.SUM.Automation", "N/A"),
IF(EInfo_SUM[[#This Row],[E.Info.DT.SUM-1]]="N/A", "N/A", "")), "")</f>
        <v/>
      </c>
      <c r="M14" s="86"/>
      <c r="O14" s="14"/>
    </row>
    <row r="15" spans="1:15" ht="85.5" customHeight="1" x14ac:dyDescent="0.3">
      <c r="A15" s="334"/>
      <c r="B15" s="105"/>
      <c r="C15" s="330" t="str">
        <f>IF($A15&lt;&gt;"",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15" s="52"/>
      <c r="E15" s="330" t="str">
        <f>IF($A15&lt;&gt;"",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15" s="49"/>
      <c r="G15" s="328" t="str" cm="1">
        <f t="array" ref="G15">IFERROR(IF(AND($A15&lt;&gt;"",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15" s="93"/>
      <c r="I15" s="94"/>
      <c r="J15" s="94"/>
      <c r="K15" s="86" t="str">
        <f t="shared" si="0"/>
        <v/>
      </c>
      <c r="L15" s="329" t="str">
        <f>IFERROR(IF(AND($A15&lt;&gt;"", EInfo_SUM[[#This Row],[E.Info.DT.SUM-1]]&lt;&gt;"N/A"),
  IF(VALUE(RIGHT(EInfo_SUM[[#This Row],[E.Info.DT.SUM-1]]))=5, "E.Info.SUM-3.SUM.Automation", "N/A"),
IF(EInfo_SUM[[#This Row],[E.Info.DT.SUM-1]]="N/A", "N/A", "")), "")</f>
        <v/>
      </c>
      <c r="M15" s="86"/>
      <c r="O15" s="14"/>
    </row>
    <row r="16" spans="1:15" ht="85.5" customHeight="1" x14ac:dyDescent="0.3">
      <c r="A16" s="334"/>
      <c r="B16" s="105"/>
      <c r="C16" s="330" t="str">
        <f>IF($A16&lt;&gt;"",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16" s="52"/>
      <c r="E16" s="330" t="str">
        <f>IF($A16&lt;&gt;"",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16" s="49"/>
      <c r="G16" s="328" t="str" cm="1">
        <f t="array" ref="G16">IFERROR(IF(AND($A16&lt;&gt;"",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16" s="93"/>
      <c r="I16" s="94"/>
      <c r="J16" s="94"/>
      <c r="K16" s="86" t="str">
        <f t="shared" si="0"/>
        <v/>
      </c>
      <c r="L16" s="329" t="str">
        <f>IFERROR(IF(AND($A16&lt;&gt;"", EInfo_SUM[[#This Row],[E.Info.DT.SUM-1]]&lt;&gt;"N/A"),
  IF(VALUE(RIGHT(EInfo_SUM[[#This Row],[E.Info.DT.SUM-1]]))=5, "E.Info.SUM-3.SUM.Automation", "N/A"),
IF(EInfo_SUM[[#This Row],[E.Info.DT.SUM-1]]="N/A", "N/A", "")), "")</f>
        <v/>
      </c>
      <c r="M16" s="86"/>
      <c r="O16" s="14"/>
    </row>
    <row r="17" spans="1:15" ht="85.5" customHeight="1" x14ac:dyDescent="0.3">
      <c r="A17" s="334"/>
      <c r="B17" s="105"/>
      <c r="C17" s="330" t="str">
        <f>IF($A17&lt;&gt;"",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17" s="52"/>
      <c r="E17" s="330" t="str">
        <f>IF($A17&lt;&gt;"",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17" s="49"/>
      <c r="G17" s="328" t="str" cm="1">
        <f t="array" ref="G17">IFERROR(IF(AND($A17&lt;&gt;"",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17" s="93"/>
      <c r="I17" s="94"/>
      <c r="J17" s="94"/>
      <c r="K17" s="86" t="str">
        <f t="shared" si="0"/>
        <v/>
      </c>
      <c r="L17" s="329" t="str">
        <f>IFERROR(IF(AND($A17&lt;&gt;"", EInfo_SUM[[#This Row],[E.Info.DT.SUM-1]]&lt;&gt;"N/A"),
  IF(VALUE(RIGHT(EInfo_SUM[[#This Row],[E.Info.DT.SUM-1]]))=5, "E.Info.SUM-3.SUM.Automation", "N/A"),
IF(EInfo_SUM[[#This Row],[E.Info.DT.SUM-1]]="N/A", "N/A", "")), "")</f>
        <v/>
      </c>
      <c r="M17" s="86"/>
      <c r="O17" s="14"/>
    </row>
    <row r="18" spans="1:15" ht="85.5" customHeight="1" x14ac:dyDescent="0.3">
      <c r="A18" s="334"/>
      <c r="B18" s="105"/>
      <c r="C18" s="330" t="str">
        <f>IF($A18&lt;&gt;"",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18" s="52"/>
      <c r="E18" s="330" t="str">
        <f>IF($A18&lt;&gt;"",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18" s="49"/>
      <c r="G18" s="328" t="str" cm="1">
        <f t="array" ref="G18">IFERROR(IF(AND($A18&lt;&gt;"",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18" s="93"/>
      <c r="I18" s="94"/>
      <c r="J18" s="94"/>
      <c r="K18" s="86" t="str">
        <f t="shared" si="0"/>
        <v/>
      </c>
      <c r="L18" s="329" t="str">
        <f>IFERROR(IF(AND($A18&lt;&gt;"", EInfo_SUM[[#This Row],[E.Info.DT.SUM-1]]&lt;&gt;"N/A"),
  IF(VALUE(RIGHT(EInfo_SUM[[#This Row],[E.Info.DT.SUM-1]]))=5, "E.Info.SUM-3.SUM.Automation", "N/A"),
IF(EInfo_SUM[[#This Row],[E.Info.DT.SUM-1]]="N/A", "N/A", "")), "")</f>
        <v/>
      </c>
      <c r="M18" s="86"/>
      <c r="O18" s="14"/>
    </row>
    <row r="19" spans="1:15" ht="85.5" customHeight="1" x14ac:dyDescent="0.3">
      <c r="A19" s="334"/>
      <c r="B19" s="105"/>
      <c r="C19" s="330" t="str">
        <f>IF($A19&lt;&gt;"",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19" s="52"/>
      <c r="E19" s="330" t="str">
        <f>IF($A19&lt;&gt;"",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19" s="49"/>
      <c r="G19" s="328" t="str" cm="1">
        <f t="array" ref="G19">IFERROR(IF(AND($A19&lt;&gt;"",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19" s="93"/>
      <c r="I19" s="94"/>
      <c r="J19" s="94"/>
      <c r="K19" s="86" t="str">
        <f t="shared" si="0"/>
        <v/>
      </c>
      <c r="L19" s="329" t="str">
        <f>IFERROR(IF(AND($A19&lt;&gt;"", EInfo_SUM[[#This Row],[E.Info.DT.SUM-1]]&lt;&gt;"N/A"),
  IF(VALUE(RIGHT(EInfo_SUM[[#This Row],[E.Info.DT.SUM-1]]))=5, "E.Info.SUM-3.SUM.Automation", "N/A"),
IF(EInfo_SUM[[#This Row],[E.Info.DT.SUM-1]]="N/A", "N/A", "")), "")</f>
        <v/>
      </c>
      <c r="M19" s="86"/>
      <c r="O19" s="14"/>
    </row>
    <row r="20" spans="1:15" ht="85.5" customHeight="1" x14ac:dyDescent="0.3">
      <c r="A20" s="334"/>
      <c r="B20" s="105"/>
      <c r="C20" s="330" t="str">
        <f>IF($A20&lt;&gt;"",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20" s="52"/>
      <c r="E20" s="330" t="str">
        <f>IF($A20&lt;&gt;"",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20" s="49"/>
      <c r="G20" s="328" t="str" cm="1">
        <f t="array" ref="G20">IFERROR(IF(AND($A20&lt;&gt;"",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20" s="93"/>
      <c r="I20" s="94"/>
      <c r="J20" s="94"/>
      <c r="K20" s="86" t="str">
        <f t="shared" si="0"/>
        <v/>
      </c>
      <c r="L20" s="329" t="str">
        <f>IFERROR(IF(AND($A20&lt;&gt;"", EInfo_SUM[[#This Row],[E.Info.DT.SUM-1]]&lt;&gt;"N/A"),
  IF(VALUE(RIGHT(EInfo_SUM[[#This Row],[E.Info.DT.SUM-1]]))=5, "E.Info.SUM-3.SUM.Automation", "N/A"),
IF(EInfo_SUM[[#This Row],[E.Info.DT.SUM-1]]="N/A", "N/A", "")), "")</f>
        <v/>
      </c>
      <c r="M20" s="86"/>
      <c r="O20" s="14"/>
    </row>
    <row r="21" spans="1:15" ht="85.5" customHeight="1" x14ac:dyDescent="0.3">
      <c r="A21" s="334"/>
      <c r="B21" s="105"/>
      <c r="C21" s="330" t="str">
        <f>IF($A21&lt;&gt;"",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21" s="52"/>
      <c r="E21" s="330" t="str">
        <f>IF($A21&lt;&gt;"",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21" s="49"/>
      <c r="G21" s="328" t="str" cm="1">
        <f t="array" ref="G21">IFERROR(IF(AND($A21&lt;&gt;"",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21" s="93"/>
      <c r="I21" s="94"/>
      <c r="J21" s="94"/>
      <c r="K21" s="86" t="str">
        <f t="shared" si="0"/>
        <v/>
      </c>
      <c r="L21" s="329" t="str">
        <f>IFERROR(IF(AND($A21&lt;&gt;"", EInfo_SUM[[#This Row],[E.Info.DT.SUM-1]]&lt;&gt;"N/A"),
  IF(VALUE(RIGHT(EInfo_SUM[[#This Row],[E.Info.DT.SUM-1]]))=5, "E.Info.SUM-3.SUM.Automation", "N/A"),
IF(EInfo_SUM[[#This Row],[E.Info.DT.SUM-1]]="N/A", "N/A", "")), "")</f>
        <v/>
      </c>
      <c r="M21" s="86"/>
      <c r="O21" s="14"/>
    </row>
    <row r="22" spans="1:15" ht="85.5" customHeight="1" x14ac:dyDescent="0.3">
      <c r="A22" s="334"/>
      <c r="B22" s="105"/>
      <c r="C22" s="330" t="str">
        <f>IF($A22&lt;&gt;"",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22" s="52"/>
      <c r="E22" s="330" t="str">
        <f>IF($A22&lt;&gt;"",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22" s="49"/>
      <c r="G22" s="328" t="str" cm="1">
        <f t="array" ref="G22">IFERROR(IF(AND($A22&lt;&gt;"",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22" s="93"/>
      <c r="I22" s="94"/>
      <c r="J22" s="94"/>
      <c r="K22" s="86" t="str">
        <f t="shared" si="0"/>
        <v/>
      </c>
      <c r="L22" s="329" t="str">
        <f>IFERROR(IF(AND($A22&lt;&gt;"", EInfo_SUM[[#This Row],[E.Info.DT.SUM-1]]&lt;&gt;"N/A"),
  IF(VALUE(RIGHT(EInfo_SUM[[#This Row],[E.Info.DT.SUM-1]]))=5, "E.Info.SUM-3.SUM.Automation", "N/A"),
IF(EInfo_SUM[[#This Row],[E.Info.DT.SUM-1]]="N/A", "N/A", "")), "")</f>
        <v/>
      </c>
      <c r="M22" s="86"/>
      <c r="O22" s="14"/>
    </row>
    <row r="23" spans="1:15" ht="85.5" customHeight="1" x14ac:dyDescent="0.3">
      <c r="A23" s="334"/>
      <c r="B23" s="105"/>
      <c r="C23" s="330" t="str">
        <f>IF($A23&lt;&gt;"",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23" s="52"/>
      <c r="E23" s="330" t="str">
        <f>IF($A23&lt;&gt;"",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23" s="49"/>
      <c r="G23" s="328" t="str" cm="1">
        <f t="array" ref="G23">IFERROR(IF(AND($A23&lt;&gt;"",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23" s="93"/>
      <c r="I23" s="94"/>
      <c r="J23" s="94"/>
      <c r="K23" s="86" t="str">
        <f t="shared" si="0"/>
        <v/>
      </c>
      <c r="L23" s="329" t="str">
        <f>IFERROR(IF(AND($A23&lt;&gt;"", EInfo_SUM[[#This Row],[E.Info.DT.SUM-1]]&lt;&gt;"N/A"),
  IF(VALUE(RIGHT(EInfo_SUM[[#This Row],[E.Info.DT.SUM-1]]))=5, "E.Info.SUM-3.SUM.Automation", "N/A"),
IF(EInfo_SUM[[#This Row],[E.Info.DT.SUM-1]]="N/A", "N/A", "")), "")</f>
        <v/>
      </c>
      <c r="M23" s="86"/>
      <c r="O23" s="14"/>
    </row>
    <row r="24" spans="1:15" ht="85.5" customHeight="1" x14ac:dyDescent="0.3">
      <c r="A24" s="334"/>
      <c r="B24" s="105"/>
      <c r="C24" s="330" t="str">
        <f>IF($A24&lt;&gt;"",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24" s="52"/>
      <c r="E24" s="330" t="str">
        <f>IF($A24&lt;&gt;"",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24" s="49"/>
      <c r="G24" s="328" t="str" cm="1">
        <f t="array" ref="G24">IFERROR(IF(AND($A24&lt;&gt;"",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24" s="93"/>
      <c r="I24" s="94"/>
      <c r="J24" s="94"/>
      <c r="K24" s="86" t="str">
        <f t="shared" si="0"/>
        <v/>
      </c>
      <c r="L24" s="329" t="str">
        <f>IFERROR(IF(AND($A24&lt;&gt;"", EInfo_SUM[[#This Row],[E.Info.DT.SUM-1]]&lt;&gt;"N/A"),
  IF(VALUE(RIGHT(EInfo_SUM[[#This Row],[E.Info.DT.SUM-1]]))=5, "E.Info.SUM-3.SUM.Automation", "N/A"),
IF(EInfo_SUM[[#This Row],[E.Info.DT.SUM-1]]="N/A", "N/A", "")), "")</f>
        <v/>
      </c>
      <c r="M24" s="86"/>
      <c r="O24" s="14"/>
    </row>
    <row r="25" spans="1:15" ht="85.5" customHeight="1" x14ac:dyDescent="0.3">
      <c r="A25" s="334"/>
      <c r="B25" s="105"/>
      <c r="C25" s="330" t="str">
        <f>IF($A25&lt;&gt;"",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25" s="52"/>
      <c r="E25" s="330" t="str">
        <f>IF($A25&lt;&gt;"",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25" s="49"/>
      <c r="G25" s="328" t="str" cm="1">
        <f t="array" ref="G25">IFERROR(IF(AND($A25&lt;&gt;"",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25" s="93"/>
      <c r="I25" s="94"/>
      <c r="J25" s="94"/>
      <c r="K25" s="86" t="str">
        <f t="shared" si="0"/>
        <v/>
      </c>
      <c r="L25" s="329" t="str">
        <f>IFERROR(IF(AND($A25&lt;&gt;"", EInfo_SUM[[#This Row],[E.Info.DT.SUM-1]]&lt;&gt;"N/A"),
  IF(VALUE(RIGHT(EInfo_SUM[[#This Row],[E.Info.DT.SUM-1]]))=5, "E.Info.SUM-3.SUM.Automation", "N/A"),
IF(EInfo_SUM[[#This Row],[E.Info.DT.SUM-1]]="N/A", "N/A", "")), "")</f>
        <v/>
      </c>
      <c r="M25" s="86"/>
      <c r="O25" s="14"/>
    </row>
    <row r="26" spans="1:15" ht="85.5" customHeight="1" x14ac:dyDescent="0.3">
      <c r="A26" s="334"/>
      <c r="B26" s="105"/>
      <c r="C26" s="330" t="str">
        <f>IF($A26&lt;&gt;"",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26" s="52"/>
      <c r="E26" s="330" t="str">
        <f>IF($A26&lt;&gt;"",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26" s="49"/>
      <c r="G26" s="328" t="str" cm="1">
        <f t="array" ref="G26">IFERROR(IF(AND($A26&lt;&gt;"",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26" s="93"/>
      <c r="I26" s="94"/>
      <c r="J26" s="94"/>
      <c r="K26" s="86" t="str">
        <f t="shared" si="0"/>
        <v/>
      </c>
      <c r="L26" s="329" t="str">
        <f>IFERROR(IF(AND($A26&lt;&gt;"", EInfo_SUM[[#This Row],[E.Info.DT.SUM-1]]&lt;&gt;"N/A"),
  IF(VALUE(RIGHT(EInfo_SUM[[#This Row],[E.Info.DT.SUM-1]]))=5, "E.Info.SUM-3.SUM.Automation", "N/A"),
IF(EInfo_SUM[[#This Row],[E.Info.DT.SUM-1]]="N/A", "N/A", "")), "")</f>
        <v/>
      </c>
      <c r="M26" s="86"/>
      <c r="O26" s="14"/>
    </row>
    <row r="27" spans="1:15" ht="85.5" customHeight="1" x14ac:dyDescent="0.3">
      <c r="A27" s="334"/>
      <c r="B27" s="105"/>
      <c r="C27" s="330" t="str">
        <f>IF($A27&lt;&gt;"",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27" s="52"/>
      <c r="E27" s="330" t="str">
        <f>IF($A27&lt;&gt;"",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27" s="49"/>
      <c r="G27" s="328" t="str" cm="1">
        <f t="array" ref="G27">IFERROR(IF(AND($A27&lt;&gt;"",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27" s="93"/>
      <c r="I27" s="94"/>
      <c r="J27" s="94"/>
      <c r="K27" s="86" t="str">
        <f t="shared" si="0"/>
        <v/>
      </c>
      <c r="L27" s="329" t="str">
        <f>IFERROR(IF(AND($A27&lt;&gt;"", EInfo_SUM[[#This Row],[E.Info.DT.SUM-1]]&lt;&gt;"N/A"),
  IF(VALUE(RIGHT(EInfo_SUM[[#This Row],[E.Info.DT.SUM-1]]))=5, "E.Info.SUM-3.SUM.Automation", "N/A"),
IF(EInfo_SUM[[#This Row],[E.Info.DT.SUM-1]]="N/A", "N/A", "")), "")</f>
        <v/>
      </c>
      <c r="M27" s="86"/>
      <c r="O27" s="14"/>
    </row>
    <row r="28" spans="1:15" ht="85.5" customHeight="1" x14ac:dyDescent="0.3">
      <c r="A28" s="334"/>
      <c r="B28" s="105"/>
      <c r="C28" s="330" t="str">
        <f>IF($A28&lt;&gt;"",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28" s="52"/>
      <c r="E28" s="330" t="str">
        <f>IF($A28&lt;&gt;"",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28" s="49"/>
      <c r="G28" s="328" t="str" cm="1">
        <f t="array" ref="G28">IFERROR(IF(AND($A28&lt;&gt;"",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28" s="93"/>
      <c r="I28" s="94"/>
      <c r="J28" s="94"/>
      <c r="K28" s="86" t="str">
        <f t="shared" si="0"/>
        <v/>
      </c>
      <c r="L28" s="329" t="str">
        <f>IFERROR(IF(AND($A28&lt;&gt;"", EInfo_SUM[[#This Row],[E.Info.DT.SUM-1]]&lt;&gt;"N/A"),
  IF(VALUE(RIGHT(EInfo_SUM[[#This Row],[E.Info.DT.SUM-1]]))=5, "E.Info.SUM-3.SUM.Automation", "N/A"),
IF(EInfo_SUM[[#This Row],[E.Info.DT.SUM-1]]="N/A", "N/A", "")), "")</f>
        <v/>
      </c>
      <c r="M28" s="86"/>
      <c r="O28" s="14"/>
    </row>
    <row r="29" spans="1:15" ht="85.5" customHeight="1" x14ac:dyDescent="0.3">
      <c r="A29" s="334"/>
      <c r="B29" s="105"/>
      <c r="C29" s="330" t="str">
        <f>IF($A29&lt;&gt;"",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29" s="52"/>
      <c r="E29" s="330" t="str">
        <f>IF($A29&lt;&gt;"",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29" s="49"/>
      <c r="G29" s="328" t="str" cm="1">
        <f t="array" ref="G29">IFERROR(IF(AND($A29&lt;&gt;"",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29" s="93"/>
      <c r="I29" s="94"/>
      <c r="J29" s="94"/>
      <c r="K29" s="86" t="str">
        <f t="shared" si="0"/>
        <v/>
      </c>
      <c r="L29" s="329" t="str">
        <f>IFERROR(IF(AND($A29&lt;&gt;"", EInfo_SUM[[#This Row],[E.Info.DT.SUM-1]]&lt;&gt;"N/A"),
  IF(VALUE(RIGHT(EInfo_SUM[[#This Row],[E.Info.DT.SUM-1]]))=5, "E.Info.SUM-3.SUM.Automation", "N/A"),
IF(EInfo_SUM[[#This Row],[E.Info.DT.SUM-1]]="N/A", "N/A", "")), "")</f>
        <v/>
      </c>
      <c r="M29" s="86"/>
      <c r="O29" s="14"/>
    </row>
    <row r="30" spans="1:15" ht="85.5" customHeight="1" x14ac:dyDescent="0.3">
      <c r="A30" s="334"/>
      <c r="B30" s="105"/>
      <c r="C30" s="330" t="str">
        <f>IF($A30&lt;&gt;"",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30" s="52"/>
      <c r="E30" s="330" t="str">
        <f>IF($A30&lt;&gt;"",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30" s="49"/>
      <c r="G30" s="328" t="str" cm="1">
        <f t="array" ref="G30">IFERROR(IF(AND($A30&lt;&gt;"",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30" s="93"/>
      <c r="I30" s="94"/>
      <c r="J30" s="94"/>
      <c r="K30" s="86" t="str">
        <f t="shared" si="0"/>
        <v/>
      </c>
      <c r="L30" s="329" t="str">
        <f>IFERROR(IF(AND($A30&lt;&gt;"", EInfo_SUM[[#This Row],[E.Info.DT.SUM-1]]&lt;&gt;"N/A"),
  IF(VALUE(RIGHT(EInfo_SUM[[#This Row],[E.Info.DT.SUM-1]]))=5, "E.Info.SUM-3.SUM.Automation", "N/A"),
IF(EInfo_SUM[[#This Row],[E.Info.DT.SUM-1]]="N/A", "N/A", "")), "")</f>
        <v/>
      </c>
      <c r="M30" s="86"/>
      <c r="O30" s="14"/>
    </row>
    <row r="31" spans="1:15" ht="85.5" customHeight="1" x14ac:dyDescent="0.3">
      <c r="A31" s="334"/>
      <c r="B31" s="105"/>
      <c r="C31" s="330" t="str">
        <f>IF($A31&lt;&gt;"",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31" s="52"/>
      <c r="E31" s="330" t="str">
        <f>IF($A31&lt;&gt;"",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31" s="49"/>
      <c r="G31" s="328" t="str" cm="1">
        <f t="array" ref="G31">IFERROR(IF(AND($A31&lt;&gt;"",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31" s="93"/>
      <c r="I31" s="94"/>
      <c r="J31" s="94"/>
      <c r="K31" s="86" t="str">
        <f t="shared" si="0"/>
        <v/>
      </c>
      <c r="L31" s="329" t="str">
        <f>IFERROR(IF(AND($A31&lt;&gt;"", EInfo_SUM[[#This Row],[E.Info.DT.SUM-1]]&lt;&gt;"N/A"),
  IF(VALUE(RIGHT(EInfo_SUM[[#This Row],[E.Info.DT.SUM-1]]))=5, "E.Info.SUM-3.SUM.Automation", "N/A"),
IF(EInfo_SUM[[#This Row],[E.Info.DT.SUM-1]]="N/A", "N/A", "")), "")</f>
        <v/>
      </c>
      <c r="M31" s="86"/>
      <c r="O31" s="14"/>
    </row>
    <row r="32" spans="1:15" ht="85.5" customHeight="1" x14ac:dyDescent="0.3">
      <c r="A32" s="334"/>
      <c r="B32" s="105"/>
      <c r="C32" s="330" t="str">
        <f>IF($A32&lt;&gt;"",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32" s="52"/>
      <c r="E32" s="330" t="str">
        <f>IF($A32&lt;&gt;"",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32" s="49"/>
      <c r="G32" s="328" t="str" cm="1">
        <f t="array" ref="G32">IFERROR(IF(AND($A32&lt;&gt;"",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32" s="93"/>
      <c r="I32" s="94"/>
      <c r="J32" s="94"/>
      <c r="K32" s="86" t="str">
        <f t="shared" si="0"/>
        <v/>
      </c>
      <c r="L32" s="329" t="str">
        <f>IFERROR(IF(AND($A32&lt;&gt;"", EInfo_SUM[[#This Row],[E.Info.DT.SUM-1]]&lt;&gt;"N/A"),
  IF(VALUE(RIGHT(EInfo_SUM[[#This Row],[E.Info.DT.SUM-1]]))=5, "E.Info.SUM-3.SUM.Automation", "N/A"),
IF(EInfo_SUM[[#This Row],[E.Info.DT.SUM-1]]="N/A", "N/A", "")), "")</f>
        <v/>
      </c>
      <c r="M32" s="86"/>
      <c r="O32" s="14"/>
    </row>
    <row r="33" spans="1:15" ht="85.5" customHeight="1" x14ac:dyDescent="0.3">
      <c r="A33" s="334"/>
      <c r="B33" s="105"/>
      <c r="C33" s="330" t="str">
        <f>IF($A33&lt;&gt;"",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33" s="52"/>
      <c r="E33" s="330" t="str">
        <f>IF($A33&lt;&gt;"",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33" s="49"/>
      <c r="G33" s="328" t="str" cm="1">
        <f t="array" ref="G33">IFERROR(IF(AND($A33&lt;&gt;"",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33" s="93"/>
      <c r="I33" s="94"/>
      <c r="J33" s="94"/>
      <c r="K33" s="86" t="str">
        <f t="shared" si="0"/>
        <v/>
      </c>
      <c r="L33" s="329" t="str">
        <f>IFERROR(IF(AND($A33&lt;&gt;"", EInfo_SUM[[#This Row],[E.Info.DT.SUM-1]]&lt;&gt;"N/A"),
  IF(VALUE(RIGHT(EInfo_SUM[[#This Row],[E.Info.DT.SUM-1]]))=5, "E.Info.SUM-3.SUM.Automation", "N/A"),
IF(EInfo_SUM[[#This Row],[E.Info.DT.SUM-1]]="N/A", "N/A", "")), "")</f>
        <v/>
      </c>
      <c r="M33" s="86"/>
      <c r="O33" s="14"/>
    </row>
    <row r="34" spans="1:15" ht="85.5" customHeight="1" x14ac:dyDescent="0.3">
      <c r="A34" s="334"/>
      <c r="B34" s="105"/>
      <c r="C34" s="330" t="str">
        <f>IF($A34&lt;&gt;"",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34" s="52"/>
      <c r="E34" s="330" t="str">
        <f>IF($A34&lt;&gt;"",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34" s="49"/>
      <c r="G34" s="328" t="str" cm="1">
        <f t="array" ref="G34">IFERROR(IF(AND($A34&lt;&gt;"",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34" s="93"/>
      <c r="I34" s="94"/>
      <c r="J34" s="94"/>
      <c r="K34" s="86" t="str">
        <f t="shared" si="0"/>
        <v/>
      </c>
      <c r="L34" s="329" t="str">
        <f>IFERROR(IF(AND($A34&lt;&gt;"", EInfo_SUM[[#This Row],[E.Info.DT.SUM-1]]&lt;&gt;"N/A"),
  IF(VALUE(RIGHT(EInfo_SUM[[#This Row],[E.Info.DT.SUM-1]]))=5, "E.Info.SUM-3.SUM.Automation", "N/A"),
IF(EInfo_SUM[[#This Row],[E.Info.DT.SUM-1]]="N/A", "N/A", "")), "")</f>
        <v/>
      </c>
      <c r="M34" s="86"/>
      <c r="O34" s="14"/>
    </row>
    <row r="35" spans="1:15" ht="85.5" customHeight="1" x14ac:dyDescent="0.3">
      <c r="A35" s="334"/>
      <c r="B35" s="105"/>
      <c r="C35" s="330" t="str">
        <f>IF($A35&lt;&gt;"",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35" s="52"/>
      <c r="E35" s="330" t="str">
        <f>IF($A35&lt;&gt;"",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35" s="49"/>
      <c r="G35" s="328" t="str" cm="1">
        <f t="array" ref="G35">IFERROR(IF(AND($A35&lt;&gt;"",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35" s="93"/>
      <c r="I35" s="94"/>
      <c r="J35" s="94"/>
      <c r="K35" s="86" t="str">
        <f t="shared" ref="K35:K51" si="1">_xlfn.TEXTJOIN(", ", TRUE, )</f>
        <v/>
      </c>
      <c r="L35" s="329" t="str">
        <f>IFERROR(IF(AND($A35&lt;&gt;"", EInfo_SUM[[#This Row],[E.Info.DT.SUM-1]]&lt;&gt;"N/A"),
  IF(VALUE(RIGHT(EInfo_SUM[[#This Row],[E.Info.DT.SUM-1]]))=5, "E.Info.SUM-3.SUM.Automation", "N/A"),
IF(EInfo_SUM[[#This Row],[E.Info.DT.SUM-1]]="N/A", "N/A", "")), "")</f>
        <v/>
      </c>
      <c r="M35" s="86"/>
      <c r="O35" s="14"/>
    </row>
    <row r="36" spans="1:15" ht="85.5" customHeight="1" x14ac:dyDescent="0.3">
      <c r="A36" s="334"/>
      <c r="B36" s="105"/>
      <c r="C36" s="330" t="str">
        <f>IF($A36&lt;&gt;"",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36" s="52"/>
      <c r="E36" s="330" t="str">
        <f>IF($A36&lt;&gt;"",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36" s="49"/>
      <c r="G36" s="328" t="str" cm="1">
        <f t="array" ref="G36">IFERROR(IF(AND($A36&lt;&gt;"",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36" s="93"/>
      <c r="I36" s="94"/>
      <c r="J36" s="94"/>
      <c r="K36" s="86" t="str">
        <f t="shared" si="1"/>
        <v/>
      </c>
      <c r="L36" s="329" t="str">
        <f>IFERROR(IF(AND($A36&lt;&gt;"", EInfo_SUM[[#This Row],[E.Info.DT.SUM-1]]&lt;&gt;"N/A"),
  IF(VALUE(RIGHT(EInfo_SUM[[#This Row],[E.Info.DT.SUM-1]]))=5, "E.Info.SUM-3.SUM.Automation", "N/A"),
IF(EInfo_SUM[[#This Row],[E.Info.DT.SUM-1]]="N/A", "N/A", "")), "")</f>
        <v/>
      </c>
      <c r="M36" s="86"/>
      <c r="O36" s="14"/>
    </row>
    <row r="37" spans="1:15" ht="85.5" customHeight="1" x14ac:dyDescent="0.3">
      <c r="A37" s="334"/>
      <c r="B37" s="105"/>
      <c r="C37" s="330" t="str">
        <f>IF($A37&lt;&gt;"",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37" s="52"/>
      <c r="E37" s="330" t="str">
        <f>IF($A37&lt;&gt;"",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37" s="49"/>
      <c r="G37" s="328" t="str" cm="1">
        <f t="array" ref="G37">IFERROR(IF(AND($A37&lt;&gt;"",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37" s="93"/>
      <c r="I37" s="94"/>
      <c r="J37" s="94"/>
      <c r="K37" s="86" t="str">
        <f t="shared" si="1"/>
        <v/>
      </c>
      <c r="L37" s="329" t="str">
        <f>IFERROR(IF(AND($A37&lt;&gt;"", EInfo_SUM[[#This Row],[E.Info.DT.SUM-1]]&lt;&gt;"N/A"),
  IF(VALUE(RIGHT(EInfo_SUM[[#This Row],[E.Info.DT.SUM-1]]))=5, "E.Info.SUM-3.SUM.Automation", "N/A"),
IF(EInfo_SUM[[#This Row],[E.Info.DT.SUM-1]]="N/A", "N/A", "")), "")</f>
        <v/>
      </c>
      <c r="M37" s="86"/>
      <c r="O37" s="14"/>
    </row>
    <row r="38" spans="1:15" ht="85.5" customHeight="1" x14ac:dyDescent="0.3">
      <c r="A38" s="334"/>
      <c r="B38" s="105"/>
      <c r="C38" s="330" t="str">
        <f>IF($A38&lt;&gt;"",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38" s="52"/>
      <c r="E38" s="330" t="str">
        <f>IF($A38&lt;&gt;"",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38" s="49"/>
      <c r="G38" s="328" t="str" cm="1">
        <f t="array" ref="G38">IFERROR(IF(AND($A38&lt;&gt;"",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38" s="93"/>
      <c r="I38" s="94"/>
      <c r="J38" s="94"/>
      <c r="K38" s="86" t="str">
        <f t="shared" si="1"/>
        <v/>
      </c>
      <c r="L38" s="329" t="str">
        <f>IFERROR(IF(AND($A38&lt;&gt;"", EInfo_SUM[[#This Row],[E.Info.DT.SUM-1]]&lt;&gt;"N/A"),
  IF(VALUE(RIGHT(EInfo_SUM[[#This Row],[E.Info.DT.SUM-1]]))=5, "E.Info.SUM-3.SUM.Automation", "N/A"),
IF(EInfo_SUM[[#This Row],[E.Info.DT.SUM-1]]="N/A", "N/A", "")), "")</f>
        <v/>
      </c>
      <c r="M38" s="86"/>
      <c r="O38" s="14"/>
    </row>
    <row r="39" spans="1:15" ht="85.5" customHeight="1" x14ac:dyDescent="0.3">
      <c r="A39" s="334"/>
      <c r="B39" s="105"/>
      <c r="C39" s="330" t="str">
        <f>IF($A39&lt;&gt;"",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39" s="52"/>
      <c r="E39" s="330" t="str">
        <f>IF($A39&lt;&gt;"",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39" s="49"/>
      <c r="G39" s="328" t="str" cm="1">
        <f t="array" ref="G39">IFERROR(IF(AND($A39&lt;&gt;"",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39" s="93"/>
      <c r="I39" s="94"/>
      <c r="J39" s="94"/>
      <c r="K39" s="86" t="str">
        <f t="shared" si="1"/>
        <v/>
      </c>
      <c r="L39" s="329" t="str">
        <f>IFERROR(IF(AND($A39&lt;&gt;"", EInfo_SUM[[#This Row],[E.Info.DT.SUM-1]]&lt;&gt;"N/A"),
  IF(VALUE(RIGHT(EInfo_SUM[[#This Row],[E.Info.DT.SUM-1]]))=5, "E.Info.SUM-3.SUM.Automation", "N/A"),
IF(EInfo_SUM[[#This Row],[E.Info.DT.SUM-1]]="N/A", "N/A", "")), "")</f>
        <v/>
      </c>
      <c r="M39" s="86"/>
      <c r="O39" s="14"/>
    </row>
    <row r="40" spans="1:15" ht="85.5" customHeight="1" x14ac:dyDescent="0.3">
      <c r="A40" s="334"/>
      <c r="B40" s="105"/>
      <c r="C40" s="330" t="str">
        <f>IF($A40&lt;&gt;"",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40" s="52"/>
      <c r="E40" s="330" t="str">
        <f>IF($A40&lt;&gt;"",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40" s="49"/>
      <c r="G40" s="328" t="str" cm="1">
        <f t="array" ref="G40">IFERROR(IF(AND($A40&lt;&gt;"",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40" s="93"/>
      <c r="I40" s="94"/>
      <c r="J40" s="94"/>
      <c r="K40" s="86" t="str">
        <f t="shared" si="1"/>
        <v/>
      </c>
      <c r="L40" s="329" t="str">
        <f>IFERROR(IF(AND($A40&lt;&gt;"", EInfo_SUM[[#This Row],[E.Info.DT.SUM-1]]&lt;&gt;"N/A"),
  IF(VALUE(RIGHT(EInfo_SUM[[#This Row],[E.Info.DT.SUM-1]]))=5, "E.Info.SUM-3.SUM.Automation", "N/A"),
IF(EInfo_SUM[[#This Row],[E.Info.DT.SUM-1]]="N/A", "N/A", "")), "")</f>
        <v/>
      </c>
      <c r="M40" s="86"/>
      <c r="O40" s="14"/>
    </row>
    <row r="41" spans="1:15" ht="85.5" customHeight="1" x14ac:dyDescent="0.3">
      <c r="A41" s="334"/>
      <c r="B41" s="105"/>
      <c r="C41" s="330" t="str">
        <f>IF($A41&lt;&gt;"",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41" s="52"/>
      <c r="E41" s="330" t="str">
        <f>IF($A41&lt;&gt;"",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41" s="49"/>
      <c r="G41" s="328" t="str" cm="1">
        <f t="array" ref="G41">IFERROR(IF(AND($A41&lt;&gt;"",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41" s="93"/>
      <c r="I41" s="94"/>
      <c r="J41" s="94"/>
      <c r="K41" s="86" t="str">
        <f t="shared" si="1"/>
        <v/>
      </c>
      <c r="L41" s="329" t="str">
        <f>IFERROR(IF(AND($A41&lt;&gt;"", EInfo_SUM[[#This Row],[E.Info.DT.SUM-1]]&lt;&gt;"N/A"),
  IF(VALUE(RIGHT(EInfo_SUM[[#This Row],[E.Info.DT.SUM-1]]))=5, "E.Info.SUM-3.SUM.Automation", "N/A"),
IF(EInfo_SUM[[#This Row],[E.Info.DT.SUM-1]]="N/A", "N/A", "")), "")</f>
        <v/>
      </c>
      <c r="M41" s="86"/>
      <c r="O41" s="14"/>
    </row>
    <row r="42" spans="1:15" ht="85.5" customHeight="1" x14ac:dyDescent="0.3">
      <c r="A42" s="334"/>
      <c r="B42" s="105"/>
      <c r="C42" s="330" t="str">
        <f>IF($A42&lt;&gt;"",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42" s="52"/>
      <c r="E42" s="330" t="str">
        <f>IF($A42&lt;&gt;"",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42" s="49"/>
      <c r="G42" s="328" t="str" cm="1">
        <f t="array" ref="G42">IFERROR(IF(AND($A42&lt;&gt;"",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42" s="93"/>
      <c r="I42" s="94"/>
      <c r="J42" s="94"/>
      <c r="K42" s="86" t="str">
        <f t="shared" si="1"/>
        <v/>
      </c>
      <c r="L42" s="329" t="str">
        <f>IFERROR(IF(AND($A42&lt;&gt;"", EInfo_SUM[[#This Row],[E.Info.DT.SUM-1]]&lt;&gt;"N/A"),
  IF(VALUE(RIGHT(EInfo_SUM[[#This Row],[E.Info.DT.SUM-1]]))=5, "E.Info.SUM-3.SUM.Automation", "N/A"),
IF(EInfo_SUM[[#This Row],[E.Info.DT.SUM-1]]="N/A", "N/A", "")), "")</f>
        <v/>
      </c>
      <c r="M42" s="86"/>
      <c r="O42" s="14"/>
    </row>
    <row r="43" spans="1:15" ht="85.5" customHeight="1" x14ac:dyDescent="0.3">
      <c r="A43" s="334"/>
      <c r="B43" s="105"/>
      <c r="C43" s="330" t="str">
        <f>IF($A43&lt;&gt;"",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43" s="52"/>
      <c r="E43" s="330" t="str">
        <f>IF($A43&lt;&gt;"",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43" s="49"/>
      <c r="G43" s="328" t="str" cm="1">
        <f t="array" ref="G43">IFERROR(IF(AND($A43&lt;&gt;"",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43" s="93"/>
      <c r="I43" s="94"/>
      <c r="J43" s="94"/>
      <c r="K43" s="86" t="str">
        <f t="shared" si="1"/>
        <v/>
      </c>
      <c r="L43" s="329" t="str">
        <f>IFERROR(IF(AND($A43&lt;&gt;"", EInfo_SUM[[#This Row],[E.Info.DT.SUM-1]]&lt;&gt;"N/A"),
  IF(VALUE(RIGHT(EInfo_SUM[[#This Row],[E.Info.DT.SUM-1]]))=5, "E.Info.SUM-3.SUM.Automation", "N/A"),
IF(EInfo_SUM[[#This Row],[E.Info.DT.SUM-1]]="N/A", "N/A", "")), "")</f>
        <v/>
      </c>
      <c r="M43" s="86"/>
      <c r="O43" s="14"/>
    </row>
    <row r="44" spans="1:15" ht="85.5" customHeight="1" x14ac:dyDescent="0.3">
      <c r="A44" s="334"/>
      <c r="B44" s="105"/>
      <c r="C44" s="330" t="str">
        <f>IF($A44&lt;&gt;"",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44" s="52"/>
      <c r="E44" s="330" t="str">
        <f>IF($A44&lt;&gt;"",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44" s="49"/>
      <c r="G44" s="328" t="str" cm="1">
        <f t="array" ref="G44">IFERROR(IF(AND($A44&lt;&gt;"",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44" s="93"/>
      <c r="I44" s="94"/>
      <c r="J44" s="94"/>
      <c r="K44" s="86" t="str">
        <f t="shared" si="1"/>
        <v/>
      </c>
      <c r="L44" s="329" t="str">
        <f>IFERROR(IF(AND($A44&lt;&gt;"", EInfo_SUM[[#This Row],[E.Info.DT.SUM-1]]&lt;&gt;"N/A"),
  IF(VALUE(RIGHT(EInfo_SUM[[#This Row],[E.Info.DT.SUM-1]]))=5, "E.Info.SUM-3.SUM.Automation", "N/A"),
IF(EInfo_SUM[[#This Row],[E.Info.DT.SUM-1]]="N/A", "N/A", "")), "")</f>
        <v/>
      </c>
      <c r="M44" s="86"/>
      <c r="O44" s="14"/>
    </row>
    <row r="45" spans="1:15" ht="85.5" customHeight="1" x14ac:dyDescent="0.3">
      <c r="A45" s="334"/>
      <c r="B45" s="105"/>
      <c r="C45" s="330" t="str">
        <f>IF($A45&lt;&gt;"",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45" s="52"/>
      <c r="E45" s="330" t="str">
        <f>IF($A45&lt;&gt;"",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45" s="49"/>
      <c r="G45" s="328" t="str" cm="1">
        <f t="array" ref="G45">IFERROR(IF(AND($A45&lt;&gt;"",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45" s="93"/>
      <c r="I45" s="94"/>
      <c r="J45" s="94"/>
      <c r="K45" s="86" t="str">
        <f t="shared" si="1"/>
        <v/>
      </c>
      <c r="L45" s="329" t="str">
        <f>IFERROR(IF(AND($A45&lt;&gt;"", EInfo_SUM[[#This Row],[E.Info.DT.SUM-1]]&lt;&gt;"N/A"),
  IF(VALUE(RIGHT(EInfo_SUM[[#This Row],[E.Info.DT.SUM-1]]))=5, "E.Info.SUM-3.SUM.Automation", "N/A"),
IF(EInfo_SUM[[#This Row],[E.Info.DT.SUM-1]]="N/A", "N/A", "")), "")</f>
        <v/>
      </c>
      <c r="M45" s="86"/>
      <c r="O45" s="14"/>
    </row>
    <row r="46" spans="1:15" ht="85.5" customHeight="1" x14ac:dyDescent="0.3">
      <c r="A46" s="334"/>
      <c r="B46" s="105"/>
      <c r="C46" s="330" t="str">
        <f>IF($A46&lt;&gt;"",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46" s="52"/>
      <c r="E46" s="330" t="str">
        <f>IF($A46&lt;&gt;"",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46" s="49"/>
      <c r="G46" s="328" t="str" cm="1">
        <f t="array" ref="G46">IFERROR(IF(AND($A46&lt;&gt;"",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46" s="93"/>
      <c r="I46" s="94"/>
      <c r="J46" s="94"/>
      <c r="K46" s="86" t="str">
        <f t="shared" si="1"/>
        <v/>
      </c>
      <c r="L46" s="329" t="str">
        <f>IFERROR(IF(AND($A46&lt;&gt;"", EInfo_SUM[[#This Row],[E.Info.DT.SUM-1]]&lt;&gt;"N/A"),
  IF(VALUE(RIGHT(EInfo_SUM[[#This Row],[E.Info.DT.SUM-1]]))=5, "E.Info.SUM-3.SUM.Automation", "N/A"),
IF(EInfo_SUM[[#This Row],[E.Info.DT.SUM-1]]="N/A", "N/A", "")), "")</f>
        <v/>
      </c>
      <c r="M46" s="86"/>
      <c r="O46" s="14"/>
    </row>
    <row r="47" spans="1:15" ht="85.5" customHeight="1" x14ac:dyDescent="0.3">
      <c r="A47" s="334"/>
      <c r="B47" s="105"/>
      <c r="C47" s="330" t="str">
        <f>IF($A47&lt;&gt;"",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47" s="52"/>
      <c r="E47" s="330" t="str">
        <f>IF($A47&lt;&gt;"",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47" s="49"/>
      <c r="G47" s="328" t="str" cm="1">
        <f t="array" ref="G47">IFERROR(IF(AND($A47&lt;&gt;"",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47" s="93"/>
      <c r="I47" s="94"/>
      <c r="J47" s="94"/>
      <c r="K47" s="86" t="str">
        <f t="shared" si="1"/>
        <v/>
      </c>
      <c r="L47" s="329" t="str">
        <f>IFERROR(IF(AND($A47&lt;&gt;"", EInfo_SUM[[#This Row],[E.Info.DT.SUM-1]]&lt;&gt;"N/A"),
  IF(VALUE(RIGHT(EInfo_SUM[[#This Row],[E.Info.DT.SUM-1]]))=5, "E.Info.SUM-3.SUM.Automation", "N/A"),
IF(EInfo_SUM[[#This Row],[E.Info.DT.SUM-1]]="N/A", "N/A", "")), "")</f>
        <v/>
      </c>
      <c r="M47" s="86"/>
      <c r="O47" s="14"/>
    </row>
    <row r="48" spans="1:15" ht="85.5" customHeight="1" x14ac:dyDescent="0.3">
      <c r="A48" s="334"/>
      <c r="B48" s="105"/>
      <c r="C48" s="330" t="str">
        <f>IF($A48&lt;&gt;"",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48" s="52"/>
      <c r="E48" s="330" t="str">
        <f>IF($A48&lt;&gt;"",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48" s="49"/>
      <c r="G48" s="328" t="str" cm="1">
        <f t="array" ref="G48">IFERROR(IF(AND($A48&lt;&gt;"",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48" s="93"/>
      <c r="I48" s="94"/>
      <c r="J48" s="94"/>
      <c r="K48" s="86" t="str">
        <f t="shared" si="1"/>
        <v/>
      </c>
      <c r="L48" s="329" t="str">
        <f>IFERROR(IF(AND($A48&lt;&gt;"", EInfo_SUM[[#This Row],[E.Info.DT.SUM-1]]&lt;&gt;"N/A"),
  IF(VALUE(RIGHT(EInfo_SUM[[#This Row],[E.Info.DT.SUM-1]]))=5, "E.Info.SUM-3.SUM.Automation", "N/A"),
IF(EInfo_SUM[[#This Row],[E.Info.DT.SUM-1]]="N/A", "N/A", "")), "")</f>
        <v/>
      </c>
      <c r="M48" s="86"/>
      <c r="O48" s="14"/>
    </row>
    <row r="49" spans="1:15" ht="85.5" customHeight="1" x14ac:dyDescent="0.3">
      <c r="A49" s="334"/>
      <c r="B49" s="105"/>
      <c r="C49" s="330" t="str">
        <f>IF($A49&lt;&gt;"",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49" s="52"/>
      <c r="E49" s="330" t="str">
        <f>IF($A49&lt;&gt;"",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49" s="49"/>
      <c r="G49" s="328" t="str" cm="1">
        <f t="array" ref="G49">IFERROR(IF(AND($A49&lt;&gt;"",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49" s="93"/>
      <c r="I49" s="94"/>
      <c r="J49" s="94"/>
      <c r="K49" s="86" t="str">
        <f t="shared" si="1"/>
        <v/>
      </c>
      <c r="L49" s="329" t="str">
        <f>IFERROR(IF(AND($A49&lt;&gt;"", EInfo_SUM[[#This Row],[E.Info.DT.SUM-1]]&lt;&gt;"N/A"),
  IF(VALUE(RIGHT(EInfo_SUM[[#This Row],[E.Info.DT.SUM-1]]))=5, "E.Info.SUM-3.SUM.Automation", "N/A"),
IF(EInfo_SUM[[#This Row],[E.Info.DT.SUM-1]]="N/A", "N/A", "")), "")</f>
        <v/>
      </c>
      <c r="M49" s="86"/>
      <c r="O49" s="14"/>
    </row>
    <row r="50" spans="1:15" ht="85.5" customHeight="1" x14ac:dyDescent="0.3">
      <c r="A50" s="334"/>
      <c r="B50" s="105"/>
      <c r="C50" s="330" t="str">
        <f>IF($A50&lt;&gt;"",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50" s="52"/>
      <c r="E50" s="330" t="str">
        <f>IF($A50&lt;&gt;"",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50" s="49"/>
      <c r="G50" s="328" t="str" cm="1">
        <f t="array" ref="G50">IFERROR(IF(AND($A50&lt;&gt;"",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50" s="93"/>
      <c r="I50" s="94"/>
      <c r="J50" s="94"/>
      <c r="K50" s="86" t="str">
        <f t="shared" si="1"/>
        <v/>
      </c>
      <c r="L50" s="329" t="str">
        <f>IFERROR(IF(AND($A50&lt;&gt;"", EInfo_SUM[[#This Row],[E.Info.DT.SUM-1]]&lt;&gt;"N/A"),
  IF(VALUE(RIGHT(EInfo_SUM[[#This Row],[E.Info.DT.SUM-1]]))=5, "E.Info.SUM-3.SUM.Automation", "N/A"),
IF(EInfo_SUM[[#This Row],[E.Info.DT.SUM-1]]="N/A", "N/A", "")), "")</f>
        <v/>
      </c>
      <c r="M50" s="86"/>
      <c r="O50" s="14"/>
    </row>
    <row r="51" spans="1:15" ht="85.5" customHeight="1" x14ac:dyDescent="0.3">
      <c r="A51" s="336"/>
      <c r="B51" s="112"/>
      <c r="C51" s="331" t="str">
        <f>IF($A51&lt;&gt;"",
  IF(EInfo_SUM[[#This Row],[E.Info.DT.SUM-1]]&lt;&gt;"N/A",
    _xlfn.TEXTJOIN(", "&amp;CHAR(10), TRUE, "E.Info.SUM-1.PartOfSoftw",
    IFERROR(IF(VALUE(RIGHT(EInfo_SUM[[#This Row],[E.Info.DT.SUM-1]]))=5, "E.Info.SUM-2.PartOfSoftw, "&amp;CHAR(10)&amp;"E.Info.SUM-3.PartOfSoftw", ""),"")), "N/A"), "")</f>
        <v/>
      </c>
      <c r="D51" s="339"/>
      <c r="E51" s="331" t="str">
        <f>IF($A51&lt;&gt;"",
  IF(EInfo_SUM[[#This Row],[E.Info.DT.SUM-1]]&lt;&gt;"N/A",
    _xlfn.TEXTJOIN(", "&amp;CHAR(10), TRUE,
    IFERROR(CHOOSE(VALUE(RIGHT(EInfo_SUM[[#This Row],[E.Info.DT.SUM-1]])), "N/A", "E.Info.SUM-1.PartOfSoftw.FuncSaftyImp", "E.Info.SUM-1.PartOfSoftw.Immutable", "E.Info.SUM-1.PartOfSoftw.AltMeasures"), ""), ""), "N/A"), "")</f>
        <v/>
      </c>
      <c r="F51" s="100"/>
      <c r="G51" s="332" t="str" cm="1">
        <f t="array" ref="G51">IFERROR(IF(AND($A51&lt;&gt;"", EInfo_SUM[[#This Row],[E.Info.DT.SUM-1]]&lt;&gt;"N/A"),
  IF(VALUE(RIGHT(EInfo_SUM[[#This Row],[E.Info.DT.SUM-1]]))=5,
    _xlfn.TEXTJOIN(", "&amp;CHAR(10), TRUE, IF(EInfo_SUM[[#This Row],[Firmware signature]:[Access Control Mechanism]]="Yes", {"E.Info.SUM-2.SUM.Sign","E.Info.SUM-2.SUM.SecChan","E.Info.SUM-2.SUM.AccContMech"}, ""),
IF(AND(EInfo_SUM[[#This Row],[Firmware signature]]="No", EInfo_SUM[[#This Row],[Secure communication channel]]="No", EInfo_SUM[[#This Row],[Access Control Mechanism]]="No"), "E.Info.SUM-2.SUM.Generic",""), ""), "N/A"),
IF(EInfo_SUM[[#This Row],[E.Info.DT.SUM-1]]="N/A", "N/A", "")), "")</f>
        <v/>
      </c>
      <c r="H51" s="101"/>
      <c r="I51" s="102"/>
      <c r="J51" s="102"/>
      <c r="K51" s="14" t="str">
        <f t="shared" si="1"/>
        <v/>
      </c>
      <c r="L51" s="333" t="str">
        <f>IFERROR(IF(AND($A51&lt;&gt;"", EInfo_SUM[[#This Row],[E.Info.DT.SUM-1]]&lt;&gt;"N/A"),
  IF(VALUE(RIGHT(EInfo_SUM[[#This Row],[E.Info.DT.SUM-1]]))=5, "E.Info.SUM-3.SUM.Automation", "N/A"),
IF(EInfo_SUM[[#This Row],[E.Info.DT.SUM-1]]="N/A", "N/A", "")), "")</f>
        <v/>
      </c>
      <c r="M51" s="86"/>
      <c r="O51" s="14"/>
    </row>
  </sheetData>
  <sheetProtection algorithmName="SHA-512" hashValue="1X5qfogPeSgyLNHNNdbujDiYxTZREaD1WyBA4Kg9Vev4wqZobXUAUABHkKc0PTQJMnr2kRFqF4zZ6GWDkMY5Ug==" saltValue="l43rbE88oDxiTa7p91TliA==" spinCount="100000" sheet="1" objects="1" scenarios="1" formatCells="0" formatColumns="0" formatRows="0" sort="0"/>
  <protectedRanges>
    <protectedRange sqref="B4:B51" name="DT_SUM_1"/>
    <protectedRange sqref="H4:K51" name="SUM_2"/>
    <protectedRange sqref="D4:D51" name="SUM"/>
    <protectedRange sqref="F4:F51" name="SUM_1"/>
    <protectedRange sqref="M4:M51" name="SUM_3"/>
  </protectedRanges>
  <phoneticPr fontId="7" type="noConversion"/>
  <dataValidations count="3">
    <dataValidation type="list" allowBlank="1" showInputMessage="1" showErrorMessage="1" sqref="B4:B51" xr:uid="{22A67AB9-CF8A-4BA9-832E-B70F6BE7B96B}">
      <formula1>"N/A,DT.SUM-1.DN-1,DT.SUM-1.DN-2,DT.SUM-1.DN-3,DT.SUM-1.DN-4,DT.SUM-1.DN-5"</formula1>
    </dataValidation>
    <dataValidation showDropDown="1" showInputMessage="1" showErrorMessage="1" sqref="E5:E51 G4:G51 L4:L51" xr:uid="{C6C11345-55B3-4219-AF34-7D2FD6529873}"/>
    <dataValidation type="list" allowBlank="1" showInputMessage="1" showErrorMessage="1" sqref="H4:J51" xr:uid="{385F63C1-931C-4C42-B671-BB85CC2F0821}">
      <formula1>"N/A,Yes,No"</formula1>
    </dataValidation>
  </dataValidations>
  <pageMargins left="0.7" right="0.7" top="0.75" bottom="0.75" header="0.3" footer="0.3"/>
  <ignoredErrors>
    <ignoredError sqref="L4:L51" formula="1"/>
  </ignoredError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Introduction</vt:lpstr>
      <vt:lpstr>Assets</vt:lpstr>
      <vt:lpstr>Interfaces</vt:lpstr>
      <vt:lpstr>Entities</vt:lpstr>
      <vt:lpstr>Mapping_Assets_Interfaces</vt:lpstr>
      <vt:lpstr>Mapping_Assets_Entities</vt:lpstr>
      <vt:lpstr>Mapping_Entities_Interfaces</vt:lpstr>
      <vt:lpstr>E.Info ACM-AUM-SSM-SCM-DLM-CCK</vt:lpstr>
      <vt:lpstr>E.Info SUM</vt:lpstr>
      <vt:lpstr>E.Info RLM-NMM-TCM</vt:lpstr>
      <vt:lpstr>E.Info LGM</vt:lpstr>
      <vt:lpstr>E.Info GEC-1</vt:lpstr>
      <vt:lpstr>E.Info GEC-2-7</vt:lpstr>
      <vt:lpstr>E.Info GEC-8</vt:lpstr>
      <vt:lpstr>E.Info CRY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Cédric LEVY-BENCHETON</dc:creator>
  <cp:lastModifiedBy>Cédric LEVY-BENCHETON</cp:lastModifiedBy>
  <cp:lastPrinted>2026-01-21T10:30:42Z</cp:lastPrinted>
  <dcterms:created xsi:type="dcterms:W3CDTF">2025-12-10T10:55:16Z</dcterms:created>
  <dcterms:modified xsi:type="dcterms:W3CDTF">2026-01-29T10:06:06Z</dcterms:modified>
</cp:coreProperties>
</file>